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workbookProtection workbookAlgorithmName="SHA-512" workbookHashValue="lDrcKi3B2qEXR4C1s4aJS+bx4244DmmURoVh5lMhWEq8pNT55DjQKkey3B6BGIq2IO+MgsIaG/lTUImT3XuuFw==" workbookSaltValue="ReSnD0noXLiJQyyOBWKIDA==" workbookSpinCount="100000" lockStructure="1"/>
  <bookViews>
    <workbookView xWindow="780" yWindow="465" windowWidth="11430" windowHeight="10455" tabRatio="636" firstSheet="3" activeTab="6"/>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4562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X5" i="5" s="1"/>
  <c r="AB5" i="5"/>
  <c r="G61" i="6"/>
  <c r="E6" i="5"/>
  <c r="X6" i="5" s="1"/>
  <c r="E7" i="5"/>
  <c r="X7" i="5" s="1"/>
  <c r="E8" i="5"/>
  <c r="X8" i="5" s="1"/>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G60" i="6"/>
  <c r="J41" i="6"/>
  <c r="J48" i="6"/>
  <c r="I53" i="6"/>
  <c r="J55" i="6"/>
  <c r="I59" i="6"/>
  <c r="L60" i="6"/>
  <c r="J61" i="6"/>
  <c r="I64" i="6"/>
  <c r="E4" i="8"/>
  <c r="B6" i="5"/>
  <c r="C6" i="5"/>
  <c r="V6" i="5"/>
  <c r="AB6" i="5"/>
  <c r="B15" i="6"/>
  <c r="F23" i="6" s="1"/>
  <c r="B20" i="6"/>
  <c r="B16" i="6"/>
  <c r="F24"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J8"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B33" i="4" s="1"/>
  <c r="A21" i="6" s="1"/>
  <c r="P32" i="4"/>
  <c r="P39" i="4"/>
  <c r="P38" i="4"/>
  <c r="B73" i="4" s="1"/>
  <c r="A51" i="6" s="1"/>
  <c r="P37" i="4"/>
  <c r="Q37" i="4" s="1"/>
  <c r="P26" i="4"/>
  <c r="B2500" i="5"/>
  <c r="C2500" i="5"/>
  <c r="AB2500" i="5"/>
  <c r="V2500" i="5"/>
  <c r="T2500" i="5"/>
  <c r="S2500" i="5"/>
  <c r="R2500" i="5"/>
  <c r="J2500" i="5"/>
  <c r="I2500" i="5"/>
  <c r="H2500" i="5"/>
  <c r="G2500" i="5"/>
  <c r="F2500" i="5"/>
  <c r="B53" i="6"/>
  <c r="B52" i="6"/>
  <c r="P27" i="4"/>
  <c r="G53" i="6"/>
  <c r="G52" i="6"/>
  <c r="B57" i="6"/>
  <c r="G57" i="6" s="1"/>
  <c r="B55" i="6"/>
  <c r="G55" i="6"/>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G5" i="6" s="1"/>
  <c r="H5" i="6" s="1"/>
  <c r="D5" i="6" s="1"/>
  <c r="F59" i="6"/>
  <c r="C2" i="6" s="1"/>
  <c r="V2339" i="5"/>
  <c r="V2347" i="5"/>
  <c r="F2347" i="5"/>
  <c r="V2359" i="5"/>
  <c r="V2403" i="5"/>
  <c r="V2451" i="5"/>
  <c r="I2451" i="5"/>
  <c r="V2495" i="5"/>
  <c r="R2495" i="5"/>
  <c r="D11" i="4"/>
  <c r="B58" i="6"/>
  <c r="G58" i="6"/>
  <c r="B54" i="6"/>
  <c r="G54" i="6" s="1"/>
  <c r="B49" i="6"/>
  <c r="G49" i="6" s="1"/>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62" i="2"/>
  <c r="A18" i="2"/>
  <c r="A68" i="2"/>
  <c r="A36" i="2"/>
  <c r="C9" i="3"/>
  <c r="B11" i="3"/>
  <c r="C6" i="3"/>
  <c r="A58" i="2"/>
  <c r="A25" i="2"/>
  <c r="A71" i="2"/>
  <c r="H68" i="4"/>
  <c r="B8" i="3"/>
  <c r="I68" i="4"/>
  <c r="A67" i="2"/>
  <c r="A43" i="2"/>
  <c r="A54" i="2"/>
  <c r="A28" i="2"/>
  <c r="A60" i="2"/>
  <c r="A15" i="2"/>
  <c r="B9" i="3"/>
  <c r="A6" i="2"/>
  <c r="A57" i="2"/>
  <c r="A59" i="2"/>
  <c r="A13" i="2"/>
  <c r="A24" i="2"/>
  <c r="A30" i="2"/>
  <c r="B3" i="3"/>
  <c r="H62" i="5"/>
  <c r="F62" i="5"/>
  <c r="J62" i="5"/>
  <c r="I62" i="5"/>
  <c r="V8" i="5"/>
  <c r="I8" i="5"/>
  <c r="V11" i="5"/>
  <c r="F11" i="5"/>
  <c r="AB12" i="5"/>
  <c r="V14" i="5"/>
  <c r="H14" i="5"/>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C19" i="3"/>
  <c r="B20" i="4"/>
  <c r="A11" i="6" s="1"/>
  <c r="B4" i="5"/>
  <c r="B10" i="4"/>
  <c r="A6"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 i="6"/>
  <c r="A4" i="8"/>
  <c r="B22" i="3"/>
  <c r="B4" i="8"/>
  <c r="B34" i="4"/>
  <c r="B40" i="4"/>
  <c r="B52" i="4" s="1"/>
  <c r="A35" i="6" s="1"/>
  <c r="C3" i="6"/>
  <c r="I4" i="8"/>
  <c r="C5" i="7"/>
  <c r="A1" i="6"/>
  <c r="A85" i="4"/>
  <c r="B81" i="4"/>
  <c r="A57" i="6" s="1"/>
  <c r="H4" i="5"/>
  <c r="O4" i="5"/>
  <c r="B2" i="5"/>
  <c r="B41" i="4"/>
  <c r="B47" i="4" s="1"/>
  <c r="A31" i="6" s="1"/>
  <c r="D3" i="6"/>
  <c r="B19"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49" i="4" s="1"/>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AB2498" i="5"/>
  <c r="H21"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K60"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H59" i="6" l="1"/>
  <c r="D59" i="6" s="1"/>
  <c r="K61" i="6"/>
  <c r="D16" i="6"/>
  <c r="B37" i="4"/>
  <c r="A22" i="6" s="1"/>
  <c r="B49" i="4"/>
  <c r="A32" i="6" s="1"/>
  <c r="B43" i="4"/>
  <c r="A27" i="6" s="1"/>
  <c r="B61" i="4"/>
  <c r="A42" i="6" s="1"/>
  <c r="B55" i="4"/>
  <c r="A37" i="6" s="1"/>
  <c r="F44" i="6"/>
  <c r="H44" i="6" s="1"/>
  <c r="D44" i="6" s="1"/>
  <c r="F39" i="6"/>
  <c r="H39" i="6" s="1"/>
  <c r="D39" i="6" s="1"/>
  <c r="F34" i="6"/>
  <c r="H34" i="6" s="1"/>
  <c r="D34" i="6" s="1"/>
  <c r="H24" i="6"/>
  <c r="D24" i="6" s="1"/>
  <c r="F61" i="6"/>
  <c r="H61" i="6" s="1"/>
  <c r="D61" i="6" s="1"/>
  <c r="F48" i="6"/>
  <c r="F60" i="6"/>
  <c r="F52" i="6"/>
  <c r="H52" i="6" s="1"/>
  <c r="D52" i="6" s="1"/>
  <c r="F33" i="6"/>
  <c r="H33" i="6" s="1"/>
  <c r="D33" i="6" s="1"/>
  <c r="H23" i="6"/>
  <c r="D23" i="6" s="1"/>
  <c r="F43" i="6"/>
  <c r="H43" i="6" s="1"/>
  <c r="D43" i="6" s="1"/>
  <c r="F28" i="6"/>
  <c r="H28" i="6" s="1"/>
  <c r="D28" i="6" s="1"/>
  <c r="F38" i="6"/>
  <c r="H38" i="6" s="1"/>
  <c r="D38" i="6" s="1"/>
  <c r="F20" i="6"/>
  <c r="H20" i="6" s="1"/>
  <c r="D20" i="6" s="1"/>
  <c r="D15" i="6"/>
  <c r="B79" i="4"/>
  <c r="A55" i="6" s="1"/>
  <c r="B38" i="4"/>
  <c r="B44" i="4" s="1"/>
  <c r="A28" i="6" s="1"/>
  <c r="B77" i="4"/>
  <c r="A54" i="6" s="1"/>
  <c r="B69" i="4"/>
  <c r="A48" i="6" s="1"/>
  <c r="G68" i="4"/>
  <c r="B75" i="4"/>
  <c r="A53" i="6" s="1"/>
  <c r="D43" i="4"/>
  <c r="B57" i="4"/>
  <c r="A39" i="6" s="1"/>
  <c r="A24" i="6"/>
  <c r="B63" i="4"/>
  <c r="A44" i="6" s="1"/>
  <c r="D37" i="4"/>
  <c r="J33" i="6"/>
  <c r="J23" i="6"/>
  <c r="J12" i="6"/>
  <c r="J4" i="6"/>
  <c r="J58" i="6"/>
  <c r="I55" i="6"/>
  <c r="I52" i="6"/>
  <c r="I46" i="6"/>
  <c r="C46" i="6" s="1"/>
  <c r="J40" i="6"/>
  <c r="J30" i="6"/>
  <c r="J20" i="6"/>
  <c r="J10" i="6"/>
  <c r="A5" i="2"/>
  <c r="A23" i="2"/>
  <c r="B16" i="4"/>
  <c r="A8" i="6" s="1"/>
  <c r="B20" i="3"/>
  <c r="C16" i="3"/>
  <c r="A52" i="2"/>
  <c r="A70" i="2"/>
  <c r="A39" i="2"/>
  <c r="B21" i="3"/>
  <c r="A10" i="2"/>
  <c r="A61" i="2"/>
  <c r="I62" i="6"/>
  <c r="J60" i="6"/>
  <c r="I58" i="6"/>
  <c r="I54" i="6"/>
  <c r="J50" i="6"/>
  <c r="J44" i="6"/>
  <c r="J38" i="6"/>
  <c r="J28" i="6"/>
  <c r="J17" i="6"/>
  <c r="C4" i="5"/>
  <c r="J5" i="6"/>
  <c r="J7" i="6"/>
  <c r="J9" i="6"/>
  <c r="J11" i="6"/>
  <c r="J13" i="6"/>
  <c r="J16" i="6"/>
  <c r="J18" i="6"/>
  <c r="J21" i="6"/>
  <c r="J24" i="6"/>
  <c r="J26" i="6"/>
  <c r="J29" i="6"/>
  <c r="J31" i="6"/>
  <c r="J34" i="6"/>
  <c r="J36" i="6"/>
  <c r="J39" i="6"/>
  <c r="D4" i="5"/>
  <c r="I4" i="6"/>
  <c r="I6" i="6"/>
  <c r="C6" i="6" s="1"/>
  <c r="I8" i="6"/>
  <c r="C8" i="6" s="1"/>
  <c r="I10" i="6"/>
  <c r="I12" i="6"/>
  <c r="C12" i="6" s="1"/>
  <c r="I15" i="6"/>
  <c r="I17" i="6"/>
  <c r="C17" i="6" s="1"/>
  <c r="I20" i="6"/>
  <c r="I23" i="6"/>
  <c r="I25" i="6"/>
  <c r="C25" i="6" s="1"/>
  <c r="I28" i="6"/>
  <c r="I30" i="6"/>
  <c r="C30" i="6" s="1"/>
  <c r="I33" i="6"/>
  <c r="I35" i="6"/>
  <c r="C35" i="6" s="1"/>
  <c r="I38" i="6"/>
  <c r="I40" i="6"/>
  <c r="C40" i="6" s="1"/>
  <c r="I43" i="6"/>
  <c r="I45" i="6"/>
  <c r="C45" i="6" s="1"/>
  <c r="I49" i="6"/>
  <c r="J51" i="6"/>
  <c r="E4" i="5"/>
  <c r="I5" i="6"/>
  <c r="I7" i="6"/>
  <c r="I9" i="6"/>
  <c r="I11" i="6"/>
  <c r="I13" i="6"/>
  <c r="I16" i="6"/>
  <c r="I18" i="6"/>
  <c r="C18" i="6" s="1"/>
  <c r="I21" i="6"/>
  <c r="I24" i="6"/>
  <c r="I26" i="6"/>
  <c r="C26" i="6" s="1"/>
  <c r="I29" i="6"/>
  <c r="C29" i="6" s="1"/>
  <c r="I31" i="6"/>
  <c r="C31" i="6" s="1"/>
  <c r="I34" i="6"/>
  <c r="I36" i="6"/>
  <c r="C36" i="6" s="1"/>
  <c r="I39" i="6"/>
  <c r="I41" i="6"/>
  <c r="C41" i="6" s="1"/>
  <c r="I44" i="6"/>
  <c r="I48" i="6"/>
  <c r="I50" i="6"/>
  <c r="J52" i="6"/>
  <c r="J54" i="6"/>
  <c r="J57" i="6"/>
  <c r="J59" i="6"/>
  <c r="C59" i="6" s="1"/>
  <c r="I61" i="6"/>
  <c r="I63" i="6"/>
  <c r="A56" i="2"/>
  <c r="C11" i="3"/>
  <c r="B24" i="4"/>
  <c r="A53" i="2"/>
  <c r="A22" i="2"/>
  <c r="A69" i="2"/>
  <c r="A17" i="2"/>
  <c r="B16" i="3"/>
  <c r="C7" i="3"/>
  <c r="A32" i="2"/>
  <c r="A37" i="2"/>
  <c r="A9" i="2"/>
  <c r="G3" i="5"/>
  <c r="B71" i="4"/>
  <c r="A49" i="6" s="1"/>
  <c r="B22" i="4"/>
  <c r="A13" i="6" s="1"/>
  <c r="L61" i="6"/>
  <c r="I60" i="6"/>
  <c r="I57" i="6"/>
  <c r="J53" i="6"/>
  <c r="J49" i="6"/>
  <c r="J43" i="6"/>
  <c r="J35" i="6"/>
  <c r="J25" i="6"/>
  <c r="J15" i="6"/>
  <c r="C15" i="6" s="1"/>
  <c r="J6" i="6"/>
  <c r="D49" i="4"/>
  <c r="B46" i="4"/>
  <c r="A30" i="6" s="1"/>
  <c r="D31" i="4"/>
  <c r="A25" i="6"/>
  <c r="B64" i="4"/>
  <c r="A45" i="6" s="1"/>
  <c r="D55" i="4"/>
  <c r="B58" i="4"/>
  <c r="A40" i="6" s="1"/>
  <c r="D61" i="4"/>
  <c r="B59" i="4"/>
  <c r="A41" i="6" s="1"/>
  <c r="G37" i="4"/>
  <c r="A26" i="6"/>
  <c r="G31" i="4"/>
  <c r="B53" i="4"/>
  <c r="A36" i="6" s="1"/>
  <c r="G61" i="4"/>
  <c r="G55" i="4"/>
  <c r="G43" i="4"/>
  <c r="B65" i="4"/>
  <c r="A46" i="6" s="1"/>
  <c r="B50" i="4" l="1"/>
  <c r="A33" i="6" s="1"/>
  <c r="A23" i="6"/>
  <c r="C52" i="6"/>
  <c r="B74" i="4"/>
  <c r="A52" i="6" s="1"/>
  <c r="B62" i="4"/>
  <c r="A43" i="6" s="1"/>
  <c r="B56" i="4"/>
  <c r="A38" i="6" s="1"/>
  <c r="C34" i="6"/>
  <c r="C24" i="6"/>
  <c r="C5" i="6"/>
  <c r="C38" i="6"/>
  <c r="C53" i="6"/>
  <c r="C43" i="6"/>
  <c r="C39" i="6"/>
  <c r="C16" i="6"/>
  <c r="C28" i="6"/>
  <c r="C20" i="6"/>
  <c r="C23" i="6"/>
  <c r="C21" i="6"/>
  <c r="C44" i="6"/>
  <c r="C33" i="6"/>
  <c r="C61" i="6"/>
  <c r="H60" i="6"/>
  <c r="D60" i="6" s="1"/>
  <c r="B2" i="6"/>
  <c r="F54" i="6"/>
  <c r="H54" i="6" s="1"/>
  <c r="D54" i="6" s="1"/>
  <c r="H48" i="6"/>
  <c r="F55" i="6"/>
  <c r="H55" i="6" s="1"/>
  <c r="F58" i="6"/>
  <c r="H58" i="6" s="1"/>
  <c r="D58" i="6" s="1"/>
  <c r="F49" i="6"/>
  <c r="F57" i="6"/>
  <c r="H57" i="6" s="1"/>
  <c r="D57" i="6" s="1"/>
  <c r="F53" i="6"/>
  <c r="H53" i="6" s="1"/>
  <c r="D53" i="6" s="1"/>
  <c r="C4" i="6"/>
  <c r="C9" i="6"/>
  <c r="C10" i="6"/>
  <c r="C13" i="6"/>
  <c r="C7" i="6"/>
  <c r="C11" i="6"/>
  <c r="F64" i="6"/>
  <c r="G64" i="6" a="1"/>
  <c r="G64" i="6" s="1"/>
  <c r="D48" i="6" l="1"/>
  <c r="C48" i="6"/>
  <c r="C57" i="6"/>
  <c r="C58" i="6"/>
  <c r="D55" i="6"/>
  <c r="C55" i="6"/>
  <c r="C60" i="6"/>
  <c r="C54" i="6"/>
  <c r="H49" i="6"/>
  <c r="F50" i="6"/>
  <c r="H50" i="6" s="1"/>
  <c r="H64" i="6"/>
  <c r="C64" i="6"/>
  <c r="H65" i="6" l="1"/>
  <c r="D2" i="6" s="1"/>
  <c r="D50" i="6"/>
  <c r="C50" i="6"/>
  <c r="D49" i="6"/>
  <c r="C49"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<sst xmlns="http://schemas.openxmlformats.org/spreadsheetml/2006/main" count="15106" uniqueCount="12835">
  <si>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</si>
  <si>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</si>
  <si>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</si>
  <si>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</si>
  <si>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</si>
  <si>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</si>
  <si>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</si>
  <si>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</si>
  <si>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</si>
  <si>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</si>
  <si>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</si>
  <si>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</si>
  <si>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</si>
  <si>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</si>
  <si>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</si>
  <si>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</si>
  <si>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</si>
  <si>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</si>
  <si>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</si>
  <si>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</si>
  <si>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</si>
  <si>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</si>
  <si>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</si>
  <si>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</si>
  <si>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</si>
  <si>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</si>
  <si>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</si>
  <si>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</si>
  <si>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</si>
  <si>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</si>
  <si>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</si>
  <si>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</si>
  <si>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</si>
  <si>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</si>
  <si>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</si>
  <si>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</si>
  <si>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</si>
  <si>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</si>
  <si>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</si>
  <si>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</si>
  <si>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</si>
  <si>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</si>
  <si>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</si>
  <si>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</si>
  <si>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</si>
  <si>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</si>
  <si>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</si>
  <si>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</si>
  <si>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</si>
  <si>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</si>
  <si>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</si>
  <si>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</si>
  <si>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</si>
  <si>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</si>
  <si>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</si>
  <si>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</si>
  <si>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</si>
  <si>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</si>
  <si>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</si>
  <si>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</si>
  <si>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</si>
  <si>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</si>
  <si>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</si>
  <si>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</si>
  <si>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</si>
  <si>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</si>
  <si>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</si>
  <si>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</si>
  <si>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</si>
  <si>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</si>
  <si>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</si>
  <si>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</si>
  <si>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</si>
  <si>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</si>
  <si>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</si>
  <si>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</si>
  <si>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</si>
  <si>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</si>
  <si>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</si>
  <si>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</si>
  <si>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</si>
  <si>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</si>
  <si>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</si>
  <si>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</si>
  <si>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</si>
  <si>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</si>
  <si>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</si>
  <si>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</si>
  <si>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</si>
  <si>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</si>
  <si>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</si>
  <si>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</si>
  <si>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</si>
  <si>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</si>
  <si>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</si>
  <si>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</si>
  <si>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</si>
  <si>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</si>
  <si>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</si>
  <si>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</si>
  <si>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</si>
  <si>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</si>
  <si>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</si>
  <si>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</si>
  <si>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</si>
  <si>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</si>
  <si>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</si>
  <si>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</si>
  <si>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</si>
  <si>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</si>
  <si>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</si>
  <si>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</si>
  <si>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</si>
  <si>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</si>
  <si>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</si>
  <si>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</si>
  <si>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</si>
  <si>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</si>
  <si>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</si>
  <si>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</si>
  <si>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</si>
  <si>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</si>
  <si>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</si>
  <si>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</si>
  <si>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</si>
  <si>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</si>
  <si>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</si>
  <si>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</si>
  <si>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</si>
  <si>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</si>
  <si>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</si>
  <si>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</si>
  <si>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</si>
  <si>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</si>
  <si>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</si>
  <si>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</si>
  <si>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</si>
  <si>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</si>
  <si>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</si>
  <si>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</si>
  <si>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</si>
  <si>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</si>
  <si>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</si>
  <si>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</si>
  <si>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</si>
  <si>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</si>
  <si>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</si>
  <si>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</si>
  <si>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</si>
  <si>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</si>
  <si>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</si>
  <si>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</si>
  <si>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</si>
  <si>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</si>
  <si>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</si>
  <si>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</si>
  <si>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</si>
  <si>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</si>
  <si>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</si>
  <si>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</si>
  <si>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</si>
  <si>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</si>
  <si>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</si>
  <si>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</si>
  <si>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</si>
  <si>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</si>
  <si>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</si>
  <si>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</si>
  <si>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</si>
  <si>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</si>
  <si>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</si>
  <si>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</si>
  <si>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</si>
  <si>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</si>
  <si>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</si>
  <si>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</si>
  <si>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</si>
  <si>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</si>
  <si>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</si>
  <si>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</si>
  <si>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</si>
  <si>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</si>
  <si>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</si>
  <si>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</si>
  <si>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</si>
  <si>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</si>
  <si>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</si>
  <si>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</si>
  <si>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</si>
  <si>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</si>
  <si>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</si>
  <si>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</si>
  <si>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</si>
  <si>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</si>
  <si>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</si>
  <si>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</si>
  <si>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</si>
  <si>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</si>
  <si>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</si>
  <si>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</si>
  <si>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</si>
  <si>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</si>
  <si>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</si>
  <si>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</si>
  <si>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</si>
  <si>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</si>
  <si>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</si>
  <si>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</si>
  <si>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</si>
  <si>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</si>
  <si>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</si>
  <si>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</si>
  <si>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</si>
  <si>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</si>
  <si>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</si>
  <si>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</si>
  <si>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</si>
  <si>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</si>
  <si>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</si>
  <si>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</si>
  <si>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</si>
  <si>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</si>
  <si>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</si>
  <si>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</si>
  <si>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</si>
  <si>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</si>
  <si>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</si>
  <si>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</si>
  <si>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</si>
  <si>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</si>
  <si>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</si>
  <si>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</si>
  <si>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</si>
  <si>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</si>
  <si>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</si>
  <si>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</si>
  <si>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</si>
  <si>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</si>
  <si>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</si>
  <si>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</si>
  <si>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</si>
  <si>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</si>
  <si>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</si>
  <si>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</si>
  <si>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</si>
  <si>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</si>
  <si>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</si>
  <si>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</si>
  <si>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</si>
  <si>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</si>
  <si>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</si>
  <si>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</si>
  <si>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</si>
  <si>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</si>
  <si>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</si>
  <si>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</si>
  <si>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</si>
  <si>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</si>
  <si>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</si>
  <si>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</si>
  <si>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</si>
  <si>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</si>
  <si>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</si>
  <si>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</si>
  <si>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</si>
  <si>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</si>
  <si>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</si>
  <si>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</si>
  <si>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</si>
  <si>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</si>
  <si>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</si>
  <si>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</si>
  <si>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</si>
  <si>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</si>
  <si>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</si>
  <si>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</si>
  <si>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</si>
  <si>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</si>
  <si>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</si>
  <si>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</si>
  <si>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</si>
  <si>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</si>
  <si>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</si>
  <si>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</si>
  <si>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</si>
  <si>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</si>
  <si>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</si>
  <si>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</si>
  <si>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</si>
  <si>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</si>
  <si>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</si>
  <si>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</si>
  <si>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</si>
  <si>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</si>
  <si>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</si>
  <si>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</si>
  <si>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</si>
  <si>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</si>
  <si>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</si>
  <si>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</si>
  <si>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</si>
  <si>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</si>
  <si>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</si>
  <si>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</si>
  <si>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</si>
  <si>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</si>
  <si>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</si>
  <si>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</si>
  <si>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</si>
  <si>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</si>
  <si>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</si>
  <si>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</si>
  <si>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</si>
  <si>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</si>
  <si>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</si>
  <si>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</si>
  <si>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</si>
  <si>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</si>
  <si>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</si>
  <si>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</si>
  <si>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</si>
  <si>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</si>
  <si>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</si>
  <si>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</si>
  <si>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</si>
  <si>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</si>
  <si>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</si>
  <si>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</si>
  <si>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</si>
  <si>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</si>
  <si>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</si>
  <si>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</si>
  <si>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</si>
  <si>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</si>
  <si>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</si>
  <si>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</si>
  <si>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</si>
  <si>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</si>
  <si>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</si>
  <si>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</si>
  <si>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</si>
  <si>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</si>
  <si>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</si>
  <si>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</si>
  <si>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</si>
  <si>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</si>
  <si>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</si>
  <si>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</si>
  <si>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</si>
  <si>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</si>
  <si>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</si>
  <si>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</si>
  <si>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</si>
  <si>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</si>
  <si>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</si>
  <si>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</si>
  <si>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</si>
  <si>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</si>
  <si>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</si>
  <si>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</si>
  <si>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</si>
  <si>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</si>
  <si>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</si>
  <si>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</si>
  <si>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</si>
  <si>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</si>
  <si>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</si>
  <si>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</si>
  <si>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</si>
  <si>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</si>
  <si>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</si>
  <si>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</si>
  <si>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</si>
  <si>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</si>
  <si>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</si>
  <si>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</si>
  <si>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</si>
  <si>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</si>
  <si>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</si>
  <si>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</si>
  <si>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</si>
  <si>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</si>
  <si>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</si>
  <si>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</si>
  <si>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</si>
  <si>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</si>
  <si>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</si>
  <si>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</si>
  <si>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</si>
  <si>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</si>
  <si>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</si>
  <si>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</si>
  <si>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</si>
  <si>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</si>
  <si>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</si>
  <si>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</si>
  <si>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</si>
  <si>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</si>
  <si>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</si>
  <si>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</si>
  <si>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</si>
  <si>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</si>
  <si>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</si>
  <si>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</si>
  <si>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</si>
  <si>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</si>
  <si>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</si>
  <si>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</si>
  <si>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</si>
  <si>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</si>
  <si>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</si>
  <si>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</si>
  <si>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</si>
  <si>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</si>
  <si>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</si>
  <si>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</si>
  <si>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</si>
  <si>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</si>
  <si>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</si>
  <si>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</si>
  <si>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</si>
  <si>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</si>
  <si>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</si>
  <si>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</si>
  <si>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</si>
  <si>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</si>
  <si>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</si>
  <si>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</si>
  <si>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</si>
  <si>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</si>
  <si>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</si>
  <si>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</si>
  <si>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</si>
  <si>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</si>
  <si>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</si>
  <si>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</si>
  <si>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</si>
  <si>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</si>
  <si>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</si>
  <si>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</si>
  <si>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</si>
  <si>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</si>
  <si>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</si>
  <si>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</si>
  <si>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</si>
  <si>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</si>
  <si>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</si>
  <si>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</si>
  <si>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</si>
  <si>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</si>
  <si>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</si>
  <si>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</si>
  <si>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</si>
  <si>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</si>
  <si>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</si>
  <si>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</si>
  <si>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</si>
  <si>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</si>
  <si>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</si>
  <si>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</si>
  <si>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</si>
  <si>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</si>
  <si>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</si>
  <si>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</si>
  <si>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</si>
  <si>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</si>
  <si>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</si>
  <si>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</si>
  <si>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</si>
  <si>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</si>
  <si>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</si>
  <si>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</si>
  <si>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</si>
  <si>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</si>
  <si>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</si>
  <si>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</si>
  <si>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</si>
  <si>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</si>
  <si>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</si>
  <si>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</si>
  <si>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</si>
  <si>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</si>
  <si>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</si>
  <si>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</si>
  <si>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</si>
  <si>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</si>
  <si>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</si>
  <si>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</si>
  <si>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</si>
  <si>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</si>
  <si>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</si>
  <si>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</si>
  <si>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</si>
  <si>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</si>
  <si>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</si>
  <si>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</si>
  <si>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</si>
  <si>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</si>
  <si>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</si>
  <si>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</si>
  <si>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</si>
  <si>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</si>
  <si>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</si>
  <si>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</si>
  <si>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</si>
  <si>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</si>
  <si>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</si>
  <si>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</si>
  <si>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</si>
  <si>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</si>
  <si>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</si>
  <si>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</si>
  <si>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</si>
  <si>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</si>
  <si>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</si>
  <si>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</si>
  <si>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</si>
  <si>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</si>
  <si>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</si>
  <si>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</si>
  <si>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</si>
  <si>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</si>
  <si>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</si>
  <si>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</si>
  <si>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</si>
  <si>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</si>
  <si>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</si>
  <si>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</si>
  <si>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</si>
  <si>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</si>
  <si>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</si>
  <si>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</si>
  <si>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</si>
  <si>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</si>
  <si>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</si>
  <si>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</si>
  <si>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</si>
  <si>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</si>
  <si>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</si>
  <si>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</si>
  <si>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</si>
  <si>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</si>
  <si>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</si>
  <si>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</si>
  <si>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</si>
  <si>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</si>
  <si>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</si>
  <si>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</si>
  <si>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</si>
  <si>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</si>
  <si>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</si>
  <si>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</si>
  <si>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</si>
  <si>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</si>
  <si>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</si>
  <si>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</si>
  <si>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</si>
  <si>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</si>
  <si>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</si>
  <si>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</si>
  <si>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</si>
  <si>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</si>
  <si>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</si>
  <si>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</si>
  <si>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</si>
  <si>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</si>
  <si>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</si>
  <si>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</si>
  <si>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</si>
  <si>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</si>
  <si>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</si>
  <si>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</si>
  <si>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</si>
  <si>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</si>
  <si>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</si>
  <si>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</si>
  <si>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</si>
  <si>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</si>
  <si>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</si>
  <si>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</si>
  <si>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</si>
  <si>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</si>
  <si>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</si>
  <si>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</si>
  <si>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</si>
  <si>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</si>
  <si>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</si>
  <si>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</si>
  <si>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</si>
  <si>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</si>
  <si>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</si>
  <si>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</si>
  <si>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</si>
  <si>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</si>
  <si>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</si>
  <si>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</si>
  <si>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</si>
  <si>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</si>
  <si>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</si>
  <si>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</si>
  <si>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</si>
  <si>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</si>
  <si>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</si>
  <si>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</si>
  <si>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</si>
  <si>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</si>
  <si>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</si>
  <si>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</si>
  <si>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</si>
  <si>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</si>
  <si>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</si>
  <si>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</si>
  <si>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</si>
  <si>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</si>
  <si>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</si>
  <si>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</si>
  <si>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</si>
  <si>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</si>
  <si>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</si>
  <si>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</si>
  <si>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</si>
  <si>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</si>
  <si>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</si>
  <si>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</si>
  <si>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</si>
  <si>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</si>
  <si>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</si>
  <si>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</si>
  <si>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</si>
  <si>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</si>
  <si>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</si>
  <si>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</si>
  <si>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</si>
  <si>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</si>
  <si>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</si>
  <si>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</si>
  <si>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</si>
  <si>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</si>
  <si>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</si>
  <si>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</si>
  <si>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</si>
  <si>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</si>
  <si>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</si>
  <si>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</si>
  <si>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</si>
  <si>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</si>
  <si>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</si>
  <si>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</si>
  <si>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</si>
  <si>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</si>
  <si>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</si>
  <si>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</si>
  <si>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</si>
  <si>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</si>
  <si>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</si>
  <si>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</si>
  <si>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</si>
  <si>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</si>
  <si>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</si>
  <si>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</si>
  <si>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</si>
  <si>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</si>
  <si>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</si>
  <si>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</si>
  <si>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</si>
  <si>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</si>
  <si>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</si>
  <si>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</si>
  <si>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</si>
  <si>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</si>
  <si>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</si>
  <si>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</si>
  <si>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</si>
  <si>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</si>
  <si>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</si>
  <si>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</si>
  <si>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</si>
  <si>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</si>
  <si>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</si>
  <si>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</si>
  <si>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</si>
  <si>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</si>
  <si>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</si>
  <si>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</si>
  <si>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</si>
  <si>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</si>
  <si>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</si>
  <si>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</si>
  <si>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</si>
  <si>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</si>
  <si>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</si>
  <si>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</si>
  <si>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</si>
  <si>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</si>
  <si>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</si>
  <si>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</si>
  <si>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</si>
  <si>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</si>
  <si>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</si>
  <si>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</si>
  <si>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</si>
  <si>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</si>
  <si>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</si>
  <si>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</si>
  <si>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</si>
  <si>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</si>
  <si>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</si>
  <si>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</si>
  <si>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</si>
  <si>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</si>
  <si>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</si>
  <si>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</si>
  <si>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</si>
  <si>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</si>
  <si>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</si>
  <si>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</si>
  <si>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</si>
  <si>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</si>
  <si>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</si>
  <si>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</si>
  <si>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</si>
  <si>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</si>
  <si>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</si>
  <si>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</si>
  <si>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</si>
  <si>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</si>
  <si>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</si>
  <si>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</si>
  <si>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</si>
  <si>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</si>
  <si>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</si>
  <si>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</si>
  <si>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</si>
  <si>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</si>
  <si>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</si>
  <si>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</si>
  <si>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</si>
  <si>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</si>
  <si>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</si>
  <si>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</si>
  <si>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</si>
  <si>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</si>
  <si>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</si>
  <si>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</si>
  <si>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</si>
  <si>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</si>
  <si>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</si>
  <si>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</si>
  <si>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</si>
  <si>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</si>
  <si>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</si>
  <si>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</si>
  <si>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</si>
  <si>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</si>
  <si>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</si>
  <si>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</si>
  <si>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</si>
  <si>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</si>
  <si>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</si>
  <si>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</si>
  <si>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</si>
  <si>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</si>
  <si>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</si>
  <si>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</si>
  <si>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</si>
  <si>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</si>
  <si>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</si>
  <si>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</si>
  <si>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</si>
  <si>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</si>
  <si>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</si>
  <si>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</si>
  <si>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</si>
  <si>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</si>
  <si>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</si>
  <si>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</si>
  <si>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</si>
  <si>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</si>
  <si>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</si>
  <si>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</si>
  <si>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</si>
  <si>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</si>
  <si>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</si>
  <si>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</si>
  <si>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</si>
  <si>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</si>
  <si>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</si>
  <si>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</si>
  <si>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</si>
  <si>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</si>
  <si>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</si>
  <si>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</si>
  <si>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</si>
  <si>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</si>
  <si>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</si>
  <si>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</si>
  <si>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</si>
  <si>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</si>
  <si>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</si>
  <si>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</si>
  <si>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</si>
  <si>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</si>
  <si>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</si>
  <si>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</si>
  <si>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</si>
  <si>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</si>
  <si>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</si>
  <si>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</si>
  <si>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</si>
  <si>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</si>
  <si>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</si>
  <si>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</si>
  <si>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</si>
  <si>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</si>
  <si>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</si>
  <si>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</si>
  <si>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</si>
  <si>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</si>
  <si>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</si>
  <si>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</si>
  <si>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</si>
  <si>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</si>
  <si>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</si>
  <si>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</si>
  <si>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</si>
  <si>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</si>
  <si>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</si>
  <si>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</si>
  <si>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</si>
  <si>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</si>
  <si>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</si>
  <si>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</si>
  <si>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</si>
  <si>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</si>
  <si>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</si>
  <si>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</si>
  <si>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</si>
  <si>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</si>
  <si>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</si>
  <si>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</si>
  <si>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</si>
  <si>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</si>
  <si>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</si>
  <si>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</si>
  <si>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</si>
  <si>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</si>
  <si>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</si>
  <si>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</si>
  <si>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</si>
  <si>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</si>
  <si>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</si>
  <si>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</si>
  <si>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</si>
  <si>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</si>
  <si>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</si>
  <si>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</si>
  <si>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</si>
  <si>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</si>
  <si>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</si>
  <si>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</si>
  <si>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</si>
  <si>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</si>
  <si>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</si>
  <si>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</si>
  <si>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</si>
  <si>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</si>
  <si>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</si>
  <si>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</si>
  <si>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</si>
  <si>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</si>
  <si>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</si>
  <si>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</si>
  <si>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</si>
  <si>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</si>
  <si>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</si>
  <si>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</si>
  <si>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</si>
  <si>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</si>
  <si>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</si>
  <si>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</si>
  <si>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</si>
  <si>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</si>
  <si>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</si>
  <si>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</si>
  <si>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</si>
  <si>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</si>
  <si>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</si>
  <si>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</si>
  <si>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</si>
  <si>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</si>
  <si>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</si>
  <si>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</si>
  <si>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</si>
  <si>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</si>
  <si>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</si>
  <si>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</si>
  <si>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</si>
  <si>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</si>
  <si>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</si>
  <si>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</si>
  <si>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</si>
  <si>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</si>
  <si>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</si>
  <si>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</si>
  <si>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</si>
  <si>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</si>
  <si>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</si>
  <si>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</si>
  <si>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</si>
  <si>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</si>
  <si>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</si>
  <si>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</si>
  <si>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</si>
  <si>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</si>
  <si>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</si>
  <si>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</si>
  <si>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</si>
  <si>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</si>
  <si>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</si>
  <si>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</si>
  <si>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</si>
  <si>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</si>
  <si>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</si>
  <si>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</si>
  <si>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</si>
  <si>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</si>
  <si>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</si>
  <si>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</si>
  <si>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</si>
  <si>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</si>
  <si>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</si>
  <si>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</si>
  <si>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</si>
  <si>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</si>
  <si>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</si>
  <si>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</si>
  <si>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</si>
  <si>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</si>
  <si>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</si>
  <si>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</si>
  <si>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</si>
  <si>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</si>
  <si>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</si>
  <si>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</si>
  <si>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</si>
  <si>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</si>
  <si>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</si>
  <si>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</si>
  <si>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</si>
  <si>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</si>
  <si>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</si>
  <si>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</si>
  <si>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</si>
  <si>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</si>
  <si>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</si>
  <si>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</si>
  <si>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</si>
  <si>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</si>
  <si>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</si>
  <si>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</si>
  <si>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</si>
  <si>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</si>
  <si>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</si>
  <si>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</si>
  <si>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</si>
  <si>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</si>
  <si>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</si>
  <si>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</si>
  <si>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</si>
  <si>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</si>
  <si>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</si>
  <si>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</si>
  <si>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</si>
  <si>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</si>
  <si>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</si>
  <si>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</si>
  <si>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</si>
  <si>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</si>
  <si>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</si>
  <si>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</si>
  <si>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</si>
  <si>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</si>
  <si>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</si>
  <si>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</si>
  <si>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</si>
  <si>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</si>
  <si>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</si>
  <si>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</si>
  <si>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</si>
  <si>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</si>
  <si>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</si>
  <si>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</si>
  <si>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</si>
  <si>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</si>
  <si>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</si>
  <si>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</si>
  <si>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</si>
  <si>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</si>
  <si>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</si>
  <si>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</si>
  <si>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</si>
  <si>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</si>
  <si>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</si>
  <si>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</si>
  <si>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</si>
  <si>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</si>
  <si>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</si>
  <si>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</si>
  <si>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</si>
  <si>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</si>
  <si>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</si>
  <si>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</si>
  <si>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</si>
  <si>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</si>
  <si>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</si>
  <si>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</si>
  <si>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</si>
  <si>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</si>
  <si>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</si>
  <si>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</si>
  <si>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</si>
  <si>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</si>
  <si>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</si>
  <si>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</si>
  <si>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</si>
  <si>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</si>
  <si>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</si>
  <si>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</si>
  <si>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</si>
  <si>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</si>
  <si>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</si>
  <si>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</si>
  <si>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</si>
  <si>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</si>
  <si>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</si>
  <si>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</si>
  <si>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</si>
  <si>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</si>
  <si>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</si>
  <si>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</si>
  <si>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</si>
  <si>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</si>
  <si>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</si>
  <si>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</si>
  <si>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</si>
  <si>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</si>
  <si>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</si>
  <si>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</si>
  <si>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</si>
  <si>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</si>
  <si>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</si>
  <si>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</si>
  <si>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</si>
  <si>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</si>
  <si>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</si>
  <si>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</si>
  <si>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</si>
  <si>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</si>
  <si>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</si>
  <si>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</si>
  <si>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</si>
  <si>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</si>
  <si>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</si>
  <si>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</si>
  <si>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</si>
  <si>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</si>
  <si>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</si>
  <si>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</si>
  <si>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</si>
  <si>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</si>
  <si>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</si>
  <si>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</si>
  <si>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</si>
  <si>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</si>
  <si>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</si>
  <si>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</si>
  <si>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</si>
  <si>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</si>
  <si>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</si>
  <si>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</si>
  <si>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</si>
  <si>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</si>
  <si>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</si>
  <si>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</si>
  <si>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</si>
  <si>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</si>
  <si>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</si>
  <si>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</si>
  <si>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</si>
  <si>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</si>
  <si>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</si>
  <si>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</si>
  <si>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</si>
  <si>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</si>
  <si>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</si>
  <si>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</si>
  <si>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</si>
  <si>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</si>
  <si>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</si>
  <si>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</si>
  <si>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</si>
  <si>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</si>
  <si>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</si>
  <si>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</si>
  <si>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</si>
  <si>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</si>
  <si>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</si>
  <si>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</si>
  <si>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</si>
  <si>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</si>
  <si>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</si>
  <si>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</si>
  <si>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</si>
  <si>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</si>
  <si>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</si>
  <si>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</si>
  <si>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</si>
  <si>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</si>
  <si>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</si>
  <si>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</si>
  <si>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</si>
  <si>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</si>
  <si>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</si>
  <si>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</si>
  <si>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</si>
  <si>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</si>
  <si>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</si>
  <si>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</si>
  <si>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</si>
  <si>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</si>
  <si>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</si>
  <si>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</si>
  <si>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</si>
  <si>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</si>
  <si>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</si>
  <si>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</si>
  <si>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</si>
  <si>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</si>
  <si>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</si>
  <si>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</si>
  <si>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</si>
  <si>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</si>
  <si>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</si>
  <si>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</si>
  <si>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</si>
  <si>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</si>
  <si>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</si>
  <si>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</si>
  <si>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</si>
  <si>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</si>
  <si>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</si>
  <si>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</si>
  <si>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</si>
  <si>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</si>
  <si>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</si>
  <si>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</si>
  <si>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</si>
  <si>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</si>
  <si>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</si>
  <si>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</si>
  <si>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</si>
  <si>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</si>
  <si>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</si>
  <si>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</si>
  <si>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</si>
  <si>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</si>
  <si>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</si>
  <si>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</si>
  <si>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</si>
  <si>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</si>
  <si>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</si>
  <si>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</si>
  <si>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</si>
  <si>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</si>
  <si>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</si>
  <si>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</si>
  <si>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</si>
  <si>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</si>
  <si>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</si>
  <si>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</si>
  <si>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</si>
  <si>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</si>
  <si>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</si>
  <si>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</si>
  <si>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</si>
  <si>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</si>
  <si>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</si>
  <si>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</si>
  <si>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</si>
  <si>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</si>
  <si>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</si>
  <si>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</si>
  <si>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</si>
  <si>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</si>
  <si>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</si>
  <si>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</si>
  <si>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</si>
  <si>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</si>
  <si>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</si>
  <si>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</si>
  <si>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</si>
  <si>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</si>
  <si>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</si>
  <si>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</si>
  <si>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</si>
  <si>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</si>
  <si>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</si>
  <si>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</si>
  <si>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</si>
  <si>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</si>
  <si>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</si>
  <si>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</si>
  <si>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</si>
  <si>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</si>
  <si>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</si>
  <si>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</si>
  <si>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</si>
  <si>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</si>
  <si>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</si>
  <si>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</si>
  <si>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</si>
  <si>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</si>
  <si>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</si>
  <si>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</si>
  <si>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</si>
  <si>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</si>
  <si>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</si>
  <si>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</si>
  <si>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</si>
  <si>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</si>
  <si>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</si>
  <si>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</si>
  <si>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</si>
  <si>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</si>
  <si>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</si>
  <si>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</si>
  <si>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</si>
  <si>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</si>
  <si>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</si>
  <si>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</si>
  <si>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</si>
  <si>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</si>
  <si>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</si>
  <si>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</si>
  <si>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</si>
  <si>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</si>
  <si>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</si>
  <si>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</si>
  <si>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</si>
  <si>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</si>
  <si>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</si>
  <si>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</si>
  <si>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</si>
  <si>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</si>
  <si>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</si>
  <si>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</si>
  <si>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</si>
  <si>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</si>
  <si>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</si>
  <si>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</si>
  <si>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</si>
  <si>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</si>
  <si>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</si>
  <si>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</si>
  <si>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</si>
  <si>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</si>
  <si>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</si>
  <si>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</si>
  <si>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</si>
  <si>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</si>
  <si>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</si>
  <si>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</si>
  <si>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</si>
  <si>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</si>
  <si>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</si>
  <si>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</si>
  <si>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</si>
  <si>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</si>
  <si>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</si>
  <si>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</si>
  <si>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</si>
  <si>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</si>
  <si>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</si>
  <si>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</si>
  <si>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</si>
  <si>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</si>
  <si>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</si>
  <si>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</si>
  <si>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</si>
  <si>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</si>
  <si>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</si>
  <si>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</si>
  <si>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</si>
  <si>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</si>
  <si>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</si>
  <si>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</si>
  <si>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</si>
  <si>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</si>
  <si>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</si>
  <si>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</si>
  <si>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</si>
  <si>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</si>
  <si>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</si>
  <si>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</si>
  <si>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</si>
  <si>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</si>
  <si>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</si>
  <si>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</si>
  <si>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</si>
  <si>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</si>
  <si>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</si>
  <si>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</si>
  <si>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</si>
  <si>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</si>
  <si>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</si>
  <si>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</si>
  <si>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</si>
  <si>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</si>
  <si>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</si>
  <si>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</si>
  <si>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</si>
  <si>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</si>
  <si>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</si>
  <si>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</si>
  <si>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</si>
  <si>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</si>
  <si>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</si>
  <si>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</si>
  <si>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</si>
  <si>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</si>
  <si>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</si>
  <si>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</si>
  <si>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</si>
  <si>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</si>
  <si>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</si>
  <si>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</si>
  <si>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</si>
  <si>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</si>
  <si>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</si>
  <si>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</si>
  <si>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</si>
  <si>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</si>
  <si>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</si>
  <si>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</si>
  <si>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</si>
  <si>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</si>
  <si>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</si>
  <si>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</si>
  <si>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</si>
  <si>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</si>
  <si>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</si>
  <si>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</si>
  <si>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</si>
  <si>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</si>
  <si>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</si>
  <si>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</si>
  <si>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</si>
  <si>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</si>
  <si>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</si>
  <si>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</si>
  <si>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</si>
  <si>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</si>
  <si>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</si>
  <si>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</si>
  <si>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</si>
  <si>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</si>
  <si>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</si>
  <si>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</si>
  <si>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</si>
  <si>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</si>
  <si>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</si>
  <si>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</si>
  <si>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</si>
  <si>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</si>
  <si>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</si>
  <si>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</si>
  <si>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</si>
  <si>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</si>
  <si>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</si>
  <si>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</si>
  <si>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</si>
  <si>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</si>
  <si>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</si>
  <si>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</si>
  <si>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</si>
  <si>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</si>
  <si>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</si>
  <si>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</si>
  <si>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</si>
  <si>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</si>
  <si>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</si>
  <si>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</si>
  <si>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</si>
  <si>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</si>
  <si>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</si>
  <si>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</si>
  <si>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</si>
  <si>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</si>
  <si>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</si>
  <si>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</si>
  <si>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</si>
  <si>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</si>
  <si>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</si>
  <si>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</si>
  <si>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</si>
  <si>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</si>
  <si>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</si>
  <si>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</si>
  <si>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</si>
  <si>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</si>
  <si>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</si>
  <si>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</si>
  <si>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</si>
  <si>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</si>
  <si>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</si>
  <si>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</si>
  <si>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</si>
  <si>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</si>
  <si>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</si>
  <si>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</si>
  <si>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</si>
  <si>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</si>
  <si>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</si>
  <si>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</si>
  <si>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</si>
  <si>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</si>
  <si>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</si>
  <si>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</si>
  <si>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</si>
  <si>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</si>
  <si>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</si>
  <si>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</si>
  <si>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</si>
  <si>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</si>
  <si>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</si>
  <si>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</si>
  <si>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</si>
  <si>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</si>
  <si>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</si>
  <si>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</si>
  <si>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</si>
  <si>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</si>
  <si>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</si>
  <si>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</si>
  <si>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</si>
  <si>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</si>
  <si>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</si>
  <si>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</si>
  <si>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</si>
  <si>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</si>
  <si>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</si>
  <si>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</si>
  <si>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</si>
  <si>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</si>
  <si>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</si>
  <si>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</si>
  <si>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</si>
  <si>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</si>
  <si>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</si>
  <si>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</si>
  <si>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</si>
  <si>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</si>
  <si>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</si>
  <si>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</si>
  <si>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</si>
  <si>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</si>
  <si>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</si>
  <si>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</si>
  <si>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</si>
  <si>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</si>
  <si>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</si>
  <si>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</si>
  <si>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</si>
  <si>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</si>
  <si>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</si>
  <si>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</si>
  <si>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</si>
  <si>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</si>
  <si>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</si>
  <si>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</si>
  <si>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</si>
  <si>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</si>
  <si>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</si>
  <si>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</si>
  <si>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</si>
  <si>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</si>
  <si>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</si>
  <si>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</si>
  <si>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</si>
  <si>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</si>
  <si>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</si>
  <si>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</si>
  <si>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</si>
  <si>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</si>
  <si>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</si>
  <si>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</si>
  <si>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</si>
  <si>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</si>
  <si>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</si>
  <si>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</si>
  <si>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</si>
  <si>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</si>
  <si>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</si>
  <si>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</si>
  <si>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</si>
  <si>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</si>
  <si>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</si>
  <si>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</si>
  <si>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</si>
  <si>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</si>
  <si>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</si>
  <si>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</si>
  <si>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</si>
  <si>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</si>
  <si>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</si>
  <si>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</si>
  <si>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</si>
  <si>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</si>
  <si>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</si>
  <si>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</si>
  <si>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</si>
  <si>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</si>
  <si>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</si>
  <si>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</si>
  <si>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</si>
  <si>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</si>
  <si>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</si>
  <si>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</si>
  <si>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</si>
  <si>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</si>
  <si>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</si>
  <si>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</si>
  <si>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</si>
  <si>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</si>
  <si>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</si>
  <si>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</si>
  <si>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</si>
  <si>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</si>
  <si>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</si>
  <si>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</si>
  <si>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</si>
  <si>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</si>
  <si>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</si>
  <si>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</si>
  <si>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</si>
  <si>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</si>
  <si>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</si>
  <si>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</si>
  <si>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</si>
  <si>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</si>
  <si>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</si>
  <si>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</si>
  <si>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</si>
  <si>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</si>
  <si>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</si>
  <si>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</si>
  <si>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</si>
  <si>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</si>
  <si>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</si>
  <si>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</si>
  <si>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</si>
  <si>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</si>
  <si>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</si>
  <si>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</si>
  <si>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</si>
  <si>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</si>
  <si>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</si>
  <si>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</si>
  <si>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</si>
  <si>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</si>
  <si>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</si>
  <si>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</si>
  <si>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</si>
  <si>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</si>
  <si>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</si>
  <si>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</si>
  <si>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</si>
  <si>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</si>
  <si>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</si>
  <si>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</si>
  <si>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</si>
  <si>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</si>
  <si>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</si>
  <si>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</si>
  <si>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</si>
  <si>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</si>
  <si>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</si>
  <si>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</si>
  <si>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</si>
  <si>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</si>
  <si>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</si>
  <si>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</si>
  <si>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</si>
  <si>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</si>
  <si>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</si>
  <si>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</si>
  <si>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</si>
  <si>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</si>
  <si>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</si>
  <si>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</si>
  <si>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</si>
  <si>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</si>
  <si>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</si>
  <si>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</si>
  <si>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</si>
  <si>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</si>
  <si>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</si>
  <si>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</si>
  <si>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</si>
  <si>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</si>
  <si>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</si>
  <si>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</si>
  <si>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</si>
  <si>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</si>
  <si>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</si>
  <si>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</si>
  <si>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</si>
  <si>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</si>
  <si>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</si>
  <si>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</si>
  <si>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</si>
  <si>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</si>
  <si>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</si>
  <si>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</si>
  <si>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</si>
  <si>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</si>
  <si>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</si>
  <si>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</si>
  <si>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</si>
  <si>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</si>
  <si>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</si>
  <si>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</si>
  <si>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</si>
  <si>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</si>
  <si>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</si>
  <si>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</si>
  <si>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</si>
  <si>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</si>
  <si>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</si>
  <si>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</si>
  <si>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</si>
  <si>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</si>
  <si>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</si>
  <si>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</si>
  <si>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</si>
  <si>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</si>
  <si>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</si>
  <si>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</si>
  <si>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</si>
  <si>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</si>
  <si>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</si>
  <si>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</si>
  <si>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</si>
  <si>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</si>
  <si>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</si>
  <si>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</si>
  <si>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</si>
  <si>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</si>
  <si>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</si>
  <si>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</si>
  <si>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</si>
  <si>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</si>
  <si>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</si>
  <si>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</si>
  <si>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</si>
  <si>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</si>
  <si>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</si>
  <si>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</si>
  <si>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</si>
  <si>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</si>
  <si>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</si>
  <si>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</si>
  <si>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</si>
  <si>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</si>
  <si>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</si>
  <si>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</si>
  <si>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</si>
  <si>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</si>
  <si>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</si>
  <si>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</si>
  <si>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</si>
  <si>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</si>
  <si>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</si>
  <si>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</si>
  <si>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</si>
  <si>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</si>
  <si>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</si>
  <si>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</si>
  <si>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</si>
  <si>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</si>
  <si>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</si>
  <si>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</si>
  <si>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</si>
  <si>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</si>
  <si>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</si>
  <si>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</si>
  <si>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</si>
  <si>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</si>
  <si>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</si>
  <si>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</si>
  <si>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</si>
  <si>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</si>
  <si>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</si>
  <si>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</si>
  <si>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</si>
  <si>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</si>
  <si>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</si>
  <si>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</si>
  <si>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</si>
  <si>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</si>
  <si>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</si>
  <si>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</si>
  <si>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</si>
  <si>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</si>
  <si>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</si>
  <si>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</si>
  <si>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</si>
  <si>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</si>
  <si>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</si>
  <si>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</si>
  <si>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</si>
  <si>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</si>
  <si>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</si>
  <si>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</si>
  <si>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</si>
  <si>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</si>
  <si>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</si>
  <si>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</si>
  <si>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</si>
  <si>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</si>
  <si>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</si>
  <si>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</si>
  <si>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</si>
  <si>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</si>
  <si>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</si>
  <si>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</si>
  <si>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</si>
  <si>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</si>
  <si>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</si>
  <si>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</si>
  <si>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</si>
  <si>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</si>
  <si>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</si>
  <si>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</si>
  <si>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</si>
  <si>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</si>
  <si>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</si>
  <si>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</si>
  <si>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</si>
  <si>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</si>
  <si>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</si>
  <si>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</si>
  <si>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</si>
  <si>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</si>
  <si>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</si>
  <si>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</si>
  <si>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</si>
  <si>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</si>
  <si>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</si>
  <si>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</si>
  <si>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</si>
  <si>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</si>
  <si>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</si>
  <si>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</si>
  <si>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</si>
  <si>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</si>
  <si>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</si>
  <si>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</si>
  <si>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</si>
  <si>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</si>
  <si>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</si>
  <si>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</si>
  <si>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</si>
  <si>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</si>
  <si>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</si>
  <si>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</si>
  <si>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</si>
  <si>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</si>
  <si>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</si>
  <si>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</si>
  <si>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</si>
  <si>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</si>
  <si>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</si>
  <si>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</si>
  <si>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</si>
  <si>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</si>
  <si>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</si>
  <si>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</si>
  <si>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</si>
  <si>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</si>
  <si>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</si>
  <si>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</si>
  <si>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</si>
  <si>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</si>
  <si>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</si>
  <si>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</si>
  <si>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</si>
  <si>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</si>
  <si>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</si>
  <si>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</si>
  <si>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</si>
  <si>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</si>
  <si>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</si>
  <si>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</si>
  <si>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</si>
  <si>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</si>
  <si>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</si>
  <si>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</si>
  <si>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</si>
  <si>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</si>
  <si>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</si>
  <si>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</si>
  <si>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</si>
  <si>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</si>
  <si>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</si>
  <si>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</si>
  <si>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</si>
  <si>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</si>
  <si>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</si>
  <si>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</si>
  <si>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</si>
  <si>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</si>
  <si>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</si>
  <si>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</si>
  <si>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</si>
  <si>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</si>
  <si>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</si>
  <si>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</si>
  <si>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</si>
  <si>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</si>
  <si>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</si>
  <si>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</si>
  <si>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</si>
  <si>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</si>
  <si>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</si>
  <si>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</si>
  <si>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</si>
  <si>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</si>
  <si>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</si>
  <si>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</si>
  <si>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</si>
  <si>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</si>
  <si>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</si>
  <si>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</si>
  <si>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</si>
  <si>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</si>
  <si>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</si>
  <si>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</si>
  <si>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</si>
  <si>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</si>
  <si>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</si>
  <si>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</si>
  <si>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</si>
  <si>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</si>
  <si>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</si>
  <si>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</si>
  <si>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</si>
  <si>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</si>
  <si>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</si>
  <si>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</si>
  <si>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</si>
  <si>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</si>
  <si>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</si>
  <si>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</si>
  <si>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</si>
  <si>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</si>
  <si>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</si>
  <si>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</si>
  <si>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</si>
  <si>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</si>
  <si>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</si>
  <si>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</si>
  <si>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</si>
  <si>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</si>
  <si>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</si>
  <si>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</si>
  <si>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</si>
  <si>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</si>
  <si>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</si>
  <si>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</si>
  <si>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</si>
  <si>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</si>
  <si>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</si>
  <si>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</si>
  <si>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</si>
  <si>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</si>
  <si>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</si>
  <si>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</si>
  <si>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</si>
  <si>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</si>
  <si>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</si>
  <si>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</si>
  <si>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</si>
  <si>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</si>
  <si>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</si>
  <si>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</si>
  <si>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</si>
  <si>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</si>
  <si>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</si>
  <si>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</si>
  <si>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</si>
  <si>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</si>
  <si>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</si>
  <si>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</si>
  <si>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</si>
  <si>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</si>
  <si>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</si>
  <si>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</si>
  <si>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</si>
  <si>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</si>
  <si>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</si>
  <si>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</si>
  <si>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</si>
  <si>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</si>
  <si>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</si>
  <si>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</si>
  <si>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</si>
  <si>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</si>
  <si>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</si>
  <si>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</si>
  <si>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</si>
  <si>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</si>
  <si>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</si>
  <si>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</si>
  <si>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</si>
  <si>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</si>
  <si>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</si>
  <si>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</si>
  <si>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</si>
  <si>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</si>
  <si>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</si>
  <si>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</si>
  <si>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</si>
  <si>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</si>
  <si>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</si>
  <si>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</si>
  <si>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</si>
  <si>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</si>
  <si>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</si>
  <si>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</si>
  <si>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</si>
  <si>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</si>
  <si>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</si>
  <si>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</si>
  <si>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</si>
  <si>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</si>
  <si>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</si>
  <si>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</si>
  <si>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</si>
  <si>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</si>
  <si>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</si>
  <si>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</si>
  <si>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</si>
  <si>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</si>
  <si>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</si>
  <si>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</si>
  <si>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</si>
  <si>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</si>
  <si>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</si>
  <si>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</si>
  <si>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</si>
  <si>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</si>
  <si>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</si>
  <si>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</si>
  <si>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</si>
  <si>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</si>
  <si>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</si>
  <si>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</si>
  <si>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</si>
  <si>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</si>
  <si>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</si>
  <si>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</si>
  <si>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</si>
  <si>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</si>
  <si>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</si>
  <si>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</si>
  <si>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</si>
  <si>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</si>
  <si>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</si>
  <si>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</si>
  <si>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</si>
  <si>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</si>
  <si>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</si>
  <si>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</si>
  <si>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</si>
  <si>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</si>
  <si>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</si>
  <si>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</si>
  <si>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</si>
  <si>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</si>
  <si>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</si>
  <si>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</si>
  <si>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</si>
  <si>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</si>
  <si>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</si>
  <si>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</si>
  <si>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</si>
  <si>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</si>
  <si>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</si>
  <si>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</si>
  <si>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</si>
  <si>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</si>
  <si>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</si>
  <si>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</si>
  <si>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</si>
  <si>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</si>
  <si>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</si>
  <si>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</si>
  <si>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</si>
  <si>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</si>
  <si>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</si>
  <si>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</si>
  <si>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</si>
  <si>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</si>
  <si>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</si>
  <si>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</si>
  <si>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</si>
  <si>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</si>
  <si>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</si>
  <si>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</si>
  <si>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</si>
  <si>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</si>
  <si>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</si>
  <si>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</si>
  <si>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</si>
  <si>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</si>
  <si>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</si>
  <si>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</si>
  <si>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</si>
  <si>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</si>
  <si>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</si>
  <si>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</si>
  <si>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</si>
  <si>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</si>
  <si>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</si>
  <si>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</si>
  <si>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</si>
  <si>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</si>
  <si>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</si>
  <si>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</si>
  <si>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</si>
  <si>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</si>
  <si>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</si>
  <si>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</si>
  <si>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</si>
  <si>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</si>
  <si>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</si>
  <si>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</si>
  <si>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</si>
  <si>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</si>
  <si>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</si>
  <si>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</si>
  <si>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</si>
  <si>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</si>
  <si>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</si>
  <si>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</si>
  <si>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</si>
  <si>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</si>
  <si>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</si>
  <si>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</si>
  <si>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</si>
  <si>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</si>
  <si>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</si>
  <si>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</si>
  <si>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</si>
  <si>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</si>
  <si>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</si>
  <si>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</si>
  <si>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</si>
  <si>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</si>
  <si>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</si>
  <si>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</si>
  <si>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</si>
  <si>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</si>
  <si>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</si>
  <si>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</si>
  <si>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</si>
  <si>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</si>
  <si>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</si>
  <si>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</si>
  <si>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</si>
  <si>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</si>
  <si>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</si>
  <si>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</si>
  <si>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</si>
  <si>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</si>
  <si>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</si>
  <si>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</si>
  <si>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</si>
  <si>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</si>
  <si>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</si>
  <si>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</si>
  <si>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</si>
  <si>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</si>
  <si>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</si>
  <si>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</si>
  <si>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</si>
  <si>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</si>
  <si>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</si>
  <si>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</si>
  <si>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</si>
  <si>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</si>
  <si>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</si>
  <si>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</si>
  <si>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</si>
  <si>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</si>
  <si>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</si>
  <si>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</si>
  <si>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</si>
  <si>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</si>
  <si>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</si>
  <si>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</si>
  <si>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</si>
  <si>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</si>
  <si>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</si>
  <si>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</si>
  <si>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</si>
  <si>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</si>
  <si>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</si>
  <si>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</si>
  <si>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</si>
  <si>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</si>
  <si>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</si>
  <si>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</si>
  <si>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</si>
  <si>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</si>
  <si>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</si>
  <si>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</si>
  <si>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</si>
  <si>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</si>
  <si>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</si>
  <si>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</si>
  <si>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</si>
  <si>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</si>
  <si>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</si>
  <si>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</si>
  <si>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</si>
  <si>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</si>
  <si>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</si>
  <si>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</si>
  <si>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</si>
  <si>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</si>
  <si>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</si>
  <si>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</si>
  <si>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</si>
  <si>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</si>
  <si>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</si>
  <si>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</si>
  <si>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</si>
  <si>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</si>
  <si>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</si>
  <si>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</si>
  <si>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</si>
  <si>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</si>
  <si>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</si>
  <si>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</si>
  <si>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</si>
  <si>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</si>
  <si>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</si>
  <si>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</si>
  <si>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</si>
  <si>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</si>
  <si>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</si>
  <si>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</si>
  <si>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</si>
  <si>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</si>
  <si>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</si>
  <si>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</si>
  <si>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</si>
  <si>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</si>
  <si>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</si>
  <si>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</si>
  <si>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</si>
  <si>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</si>
  <si>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</si>
  <si>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</si>
  <si>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</si>
  <si>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</si>
  <si>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</si>
  <si>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</si>
  <si>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</si>
  <si>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</si>
  <si>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</si>
  <si>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</si>
  <si>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</si>
  <si>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</si>
  <si>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</si>
  <si>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</si>
  <si>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</si>
  <si>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</si>
  <si>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</si>
  <si>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</si>
  <si>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</si>
  <si>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</si>
  <si>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</si>
  <si>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</si>
  <si>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</si>
  <si>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</si>
  <si>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</si>
  <si>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</si>
  <si>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</si>
  <si>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</si>
  <si>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</si>
  <si>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</si>
  <si>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</si>
  <si>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</si>
  <si>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</si>
  <si>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</si>
  <si>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</si>
  <si>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</si>
  <si>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</si>
  <si>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</si>
  <si>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</si>
  <si>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</si>
  <si>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</si>
  <si>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</si>
  <si>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</si>
  <si>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</si>
  <si>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</si>
  <si>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</si>
  <si>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</si>
  <si>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</si>
  <si>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</si>
  <si>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</si>
  <si>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</si>
  <si>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</si>
  <si>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</si>
  <si>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</si>
  <si>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</si>
  <si>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</si>
  <si>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</si>
  <si>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</si>
  <si>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</si>
  <si>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</si>
  <si>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</si>
  <si>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</si>
  <si>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</si>
  <si>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</si>
  <si>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</si>
  <si>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</si>
  <si>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</si>
  <si>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</si>
  <si>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</si>
  <si>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</si>
  <si>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</si>
  <si>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</si>
  <si>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</si>
  <si>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</si>
  <si>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</si>
  <si>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</si>
  <si>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</si>
  <si>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</si>
  <si>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</si>
  <si>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</si>
  <si>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</si>
  <si>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</si>
  <si>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</si>
  <si>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</si>
  <si>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</si>
  <si>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</si>
  <si>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</si>
  <si>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</si>
  <si>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</si>
  <si>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</si>
  <si>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</si>
  <si>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</si>
  <si>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</si>
  <si>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</si>
  <si>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</si>
  <si>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</si>
  <si>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</si>
  <si>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</si>
  <si>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</si>
  <si>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</si>
  <si>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</si>
  <si>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</si>
  <si>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</si>
  <si>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</si>
  <si>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</si>
  <si>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</si>
  <si>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</si>
  <si>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</si>
  <si>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</si>
  <si>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</si>
  <si>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</si>
  <si>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</si>
  <si>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</si>
  <si>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</si>
  <si>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</si>
  <si>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</si>
  <si>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</si>
  <si>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</si>
  <si>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</si>
  <si>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</si>
  <si>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</si>
  <si>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</si>
  <si>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</si>
  <si>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</si>
  <si>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</si>
  <si>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</si>
  <si>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</si>
  <si>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</si>
  <si>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</si>
  <si>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</si>
  <si>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</si>
  <si>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</si>
  <si>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</si>
  <si>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</si>
  <si>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</si>
  <si>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</si>
  <si>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</si>
  <si>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</si>
  <si>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</si>
  <si>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</si>
  <si>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</si>
  <si>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</si>
  <si>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</si>
  <si>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</si>
  <si>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</si>
  <si>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</si>
  <si>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</si>
  <si>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</si>
  <si>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</si>
  <si>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</si>
  <si>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</si>
  <si>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</si>
  <si>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</si>
  <si>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</si>
  <si>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</si>
  <si>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</si>
  <si>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</si>
  <si>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</si>
  <si>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</si>
  <si>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</si>
  <si>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</si>
  <si>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</si>
  <si>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</si>
  <si>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</si>
  <si>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</si>
  <si>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</si>
  <si>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</si>
  <si>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</si>
  <si>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</si>
  <si>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</si>
  <si>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</si>
  <si>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</si>
  <si>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</si>
  <si>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</si>
  <si>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</si>
  <si>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</si>
  <si>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</si>
  <si>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</si>
  <si>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</si>
  <si>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</si>
  <si>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</si>
  <si>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</si>
  <si>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</si>
  <si>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</si>
  <si>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</si>
  <si>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</si>
  <si>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</si>
  <si>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</si>
  <si>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</si>
  <si>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</si>
  <si>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</si>
  <si>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</si>
  <si>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</si>
  <si>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</si>
  <si>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</si>
  <si>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</si>
  <si>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</si>
  <si>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</si>
  <si>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</si>
  <si>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</si>
  <si>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</si>
  <si>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</si>
  <si>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</si>
  <si>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</si>
  <si>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</si>
  <si>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</si>
  <si>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</si>
  <si>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</si>
  <si>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</si>
  <si>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</si>
  <si>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</si>
  <si>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</si>
  <si>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</si>
  <si>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</si>
  <si>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</si>
  <si>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</si>
  <si>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</si>
  <si>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</si>
  <si>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</si>
  <si>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</si>
  <si>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</si>
  <si>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</si>
  <si>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</si>
  <si>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</si>
  <si>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</si>
  <si>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</si>
  <si>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</si>
  <si>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</si>
  <si>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</si>
  <si>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</si>
  <si>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</si>
  <si>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</si>
  <si>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</si>
  <si>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</si>
  <si>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</si>
  <si>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</si>
  <si>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</si>
  <si>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</si>
  <si>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</si>
  <si>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</si>
  <si>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</si>
  <si>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</si>
  <si>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</si>
  <si>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</si>
  <si>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</si>
  <si>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</si>
  <si>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</si>
  <si>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</si>
  <si>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</si>
  <si>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</si>
  <si>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</si>
  <si>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</si>
  <si>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</si>
  <si>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</si>
  <si>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</si>
  <si>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</si>
  <si>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</si>
  <si>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</si>
  <si>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</si>
  <si>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</si>
  <si>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</si>
  <si>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</si>
  <si>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</si>
  <si>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</si>
  <si>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</si>
  <si>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</si>
  <si>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</si>
  <si>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</si>
  <si>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</si>
  <si>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</si>
  <si>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</si>
  <si>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</si>
  <si>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</si>
  <si>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</si>
  <si>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</si>
  <si>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</si>
  <si>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</si>
  <si>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</si>
  <si>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</si>
  <si>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</si>
  <si>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</si>
  <si>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</si>
  <si>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</si>
  <si>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</si>
  <si>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</si>
  <si>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</si>
  <si>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</si>
  <si>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</si>
  <si>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</si>
  <si>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</si>
  <si>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</si>
  <si>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</si>
  <si>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</si>
  <si>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</si>
  <si>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</si>
  <si>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</si>
  <si>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</si>
  <si>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</si>
  <si>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</si>
  <si>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</si>
  <si>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</si>
  <si>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</si>
  <si>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</si>
  <si>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</si>
  <si>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</si>
  <si>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</si>
  <si>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</si>
  <si>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</si>
  <si>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</si>
  <si>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</si>
  <si>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</si>
  <si>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</si>
  <si>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</si>
  <si>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</si>
  <si>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</si>
  <si>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</si>
  <si>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</si>
  <si>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</si>
  <si>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</si>
  <si>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</si>
  <si>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</si>
  <si>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</si>
  <si>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</si>
  <si>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</si>
  <si>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</si>
  <si>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</si>
  <si>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</si>
  <si>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</si>
  <si>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</si>
  <si>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</si>
  <si>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</si>
  <si>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</si>
  <si>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</si>
  <si>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</si>
  <si>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</si>
  <si>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</si>
  <si>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</si>
  <si>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</si>
  <si>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</si>
  <si>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</si>
  <si>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</si>
  <si>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</si>
  <si>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</si>
  <si>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</si>
  <si>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</si>
  <si>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</si>
  <si>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</si>
  <si>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</si>
  <si>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</si>
  <si>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</si>
  <si>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</si>
  <si>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</si>
  <si>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</si>
  <si>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</si>
  <si>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</si>
  <si>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</si>
  <si>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</si>
  <si>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</si>
  <si>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</si>
  <si>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</si>
  <si>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</si>
  <si>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</si>
  <si>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</si>
  <si>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</si>
  <si>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</si>
  <si>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</si>
  <si>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</si>
  <si>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</si>
  <si>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</si>
  <si>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</si>
  <si>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</si>
  <si>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</si>
  <si>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</si>
  <si>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</si>
  <si>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</si>
  <si>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</si>
  <si>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</si>
  <si>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</si>
  <si>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</si>
  <si>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</si>
  <si>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</si>
  <si>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</si>
  <si>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</si>
  <si>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</si>
  <si>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</si>
  <si>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</si>
  <si>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</si>
  <si>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</si>
  <si>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</si>
  <si>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</si>
  <si>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</si>
  <si>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</si>
  <si>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</si>
  <si>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</si>
  <si>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</si>
  <si>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</si>
  <si>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</si>
  <si>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</si>
  <si>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</si>
  <si>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</si>
  <si>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</si>
  <si>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</si>
  <si>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</si>
  <si>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</si>
  <si>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</si>
  <si>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</si>
  <si>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</si>
  <si>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</si>
  <si>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</si>
  <si>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</si>
  <si>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</si>
  <si>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</si>
  <si>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</si>
  <si>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</si>
  <si>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</si>
  <si>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</si>
  <si>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</si>
  <si>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</si>
  <si>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</si>
  <si>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</si>
  <si>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</si>
  <si>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</si>
  <si>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</si>
  <si>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</si>
  <si>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</si>
  <si>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</si>
  <si>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</si>
  <si>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</si>
  <si>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</si>
  <si>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</si>
  <si>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</si>
  <si>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</si>
  <si>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</si>
  <si>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</si>
  <si>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</si>
  <si>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</si>
  <si>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</si>
  <si>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</si>
  <si>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</si>
  <si>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</si>
  <si>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</si>
  <si>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</si>
  <si>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</si>
  <si>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</si>
  <si>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</si>
  <si>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</si>
  <si>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</si>
  <si>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</si>
  <si>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</si>
  <si>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</si>
  <si>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</si>
  <si>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</si>
  <si>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</si>
  <si>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</si>
  <si>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</si>
  <si>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</si>
  <si>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</si>
  <si>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</si>
  <si>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</si>
  <si>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</si>
  <si>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</si>
  <si>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</si>
  <si>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</si>
  <si>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</si>
  <si>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</si>
  <si>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</si>
  <si>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</si>
  <si>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</si>
  <si>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</si>
  <si>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</si>
  <si>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</si>
  <si>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</si>
  <si>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</si>
  <si>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</si>
  <si>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</si>
  <si>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</si>
  <si>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</si>
  <si>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</si>
  <si>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</si>
  <si>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</si>
  <si>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</si>
  <si>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</si>
  <si>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</si>
  <si>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</si>
  <si>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</si>
  <si>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</si>
  <si>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</si>
  <si>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</si>
  <si>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</si>
  <si>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</si>
  <si>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</si>
  <si>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</si>
  <si>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</si>
  <si>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</si>
  <si>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</si>
  <si>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</si>
  <si>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</si>
  <si>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</si>
  <si>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</si>
  <si>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</si>
  <si>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</si>
  <si>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</si>
  <si>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</si>
  <si>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</si>
  <si>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</si>
  <si>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</si>
  <si>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</si>
  <si>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</si>
  <si>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</si>
  <si>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</si>
  <si>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</si>
  <si>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</si>
  <si>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</si>
  <si>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</si>
  <si>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</si>
  <si>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</si>
  <si>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</si>
  <si>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</si>
  <si>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</si>
  <si>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</si>
  <si>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</si>
  <si>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</si>
  <si>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</si>
  <si>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</si>
  <si>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</si>
  <si>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</si>
  <si>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</si>
  <si>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</si>
  <si>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</si>
  <si>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</si>
  <si>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</si>
  <si>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</si>
  <si>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</si>
  <si>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</si>
  <si>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</si>
  <si>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</si>
  <si>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</si>
  <si>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</si>
  <si>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</si>
  <si>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</si>
  <si>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</si>
  <si>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</si>
  <si>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</si>
  <si>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</si>
  <si>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</si>
  <si>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</si>
  <si>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</si>
  <si>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</si>
  <si>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</si>
  <si>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</si>
  <si>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</si>
  <si>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</si>
  <si>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</si>
  <si>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</si>
  <si>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</si>
  <si>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</si>
  <si>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</si>
  <si>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</si>
  <si>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</si>
  <si>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</si>
  <si>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</si>
  <si>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</si>
  <si>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</si>
  <si>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</si>
  <si>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</si>
  <si>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</si>
  <si>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</si>
  <si>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</si>
  <si>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</si>
  <si>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</si>
  <si>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</si>
  <si>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</si>
  <si>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</si>
  <si>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</si>
  <si>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</si>
  <si>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</si>
  <si>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</si>
  <si>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</si>
  <si>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</si>
  <si>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</si>
  <si>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</si>
  <si>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</si>
  <si>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</si>
  <si>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</si>
  <si>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</si>
  <si>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</si>
  <si>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</si>
  <si>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</si>
  <si>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</si>
  <si>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</si>
  <si>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</si>
  <si>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</si>
  <si>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</si>
  <si>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</si>
  <si>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</si>
  <si>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</si>
  <si>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</si>
  <si>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</si>
  <si>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</si>
  <si>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</si>
  <si>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</si>
  <si>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</si>
  <si>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</si>
  <si>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</si>
  <si>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</si>
  <si>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</si>
  <si>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</si>
  <si>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</si>
  <si>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</si>
  <si>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</si>
  <si>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</si>
  <si>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</si>
  <si>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</si>
  <si>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</si>
  <si>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</si>
  <si>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</si>
  <si>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</si>
  <si>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</si>
  <si>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</si>
  <si>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</si>
  <si>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</si>
  <si>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</si>
  <si>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</si>
  <si>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</si>
  <si>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</si>
  <si>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</si>
  <si>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</si>
  <si>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</si>
  <si>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</si>
  <si>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</si>
  <si>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</si>
  <si>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</si>
  <si>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</si>
  <si>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</si>
  <si>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</si>
  <si>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</si>
  <si>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</si>
  <si>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</si>
  <si>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</si>
  <si>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</si>
  <si>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</si>
  <si>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</si>
  <si>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</si>
  <si>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</si>
  <si>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</si>
  <si>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</si>
  <si>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</si>
  <si>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</si>
  <si>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</si>
  <si>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</si>
  <si>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</si>
  <si>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</si>
  <si>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</si>
  <si>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</si>
  <si>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</si>
  <si>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</si>
  <si>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</si>
  <si>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</si>
  <si>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</si>
  <si>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</si>
  <si>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</si>
  <si>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</si>
  <si>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</si>
  <si>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</si>
  <si>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</si>
  <si>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</si>
  <si>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</si>
  <si>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</si>
  <si>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</si>
  <si>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</si>
  <si>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</si>
  <si>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</si>
  <si>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</si>
  <si>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</si>
  <si>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</si>
  <si>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</si>
  <si>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</si>
  <si>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</si>
  <si>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</si>
  <si>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</si>
  <si>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</si>
  <si>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</si>
  <si>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</si>
  <si>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</si>
  <si>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</si>
  <si>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</si>
  <si>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</si>
  <si>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</si>
  <si>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</si>
  <si>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</si>
  <si>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</si>
  <si>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</si>
  <si>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</si>
  <si>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</si>
  <si>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</si>
  <si>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</si>
  <si>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</si>
  <si>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</si>
  <si>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</si>
  <si>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</si>
  <si>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</si>
  <si>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</si>
  <si>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</si>
  <si>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</si>
  <si>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</si>
  <si>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</si>
  <si>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</si>
  <si>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</si>
  <si>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</si>
  <si>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</si>
  <si>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</si>
  <si>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</si>
  <si>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</si>
  <si>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</si>
  <si>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</si>
  <si>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</si>
  <si>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</si>
  <si>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</si>
  <si>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</si>
  <si>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</si>
  <si>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</si>
  <si>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</si>
  <si>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</si>
  <si>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</si>
  <si>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</si>
  <si>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</si>
  <si>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</si>
  <si>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</si>
  <si>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</si>
  <si>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</si>
  <si>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</si>
  <si>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</si>
  <si>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</si>
  <si>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</si>
  <si>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</si>
  <si>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</si>
  <si>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</si>
  <si>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</si>
  <si>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</si>
  <si>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</si>
  <si>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</si>
  <si>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</si>
  <si>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</si>
  <si>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</si>
  <si>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</si>
  <si>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</si>
  <si>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</si>
  <si>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</si>
  <si>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</si>
  <si>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</si>
  <si>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</si>
  <si>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</si>
  <si>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</si>
  <si>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</si>
  <si>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</si>
  <si>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</si>
  <si>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</si>
  <si>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</si>
  <si>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</si>
  <si>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</si>
  <si>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</si>
  <si>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</si>
  <si>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</si>
  <si>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</si>
  <si>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</si>
  <si>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</si>
  <si>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</si>
  <si>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</si>
  <si>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</si>
  <si>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</si>
  <si>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</si>
  <si>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</si>
  <si>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</si>
  <si>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</si>
  <si>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</si>
  <si>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</si>
  <si>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</si>
  <si>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</si>
  <si>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</si>
  <si>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</si>
  <si>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</si>
  <si>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</si>
  <si>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</si>
  <si>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</si>
  <si>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</si>
  <si>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</si>
  <si>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</si>
  <si>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</si>
  <si>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</si>
  <si>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</si>
  <si>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</si>
  <si>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</si>
  <si>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</si>
  <si>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</si>
  <si>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</si>
  <si>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</si>
  <si>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</si>
  <si>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</si>
  <si>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</si>
  <si>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</si>
  <si>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</si>
  <si>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</si>
  <si>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</si>
  <si>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</si>
  <si>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</si>
  <si>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</si>
  <si>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</si>
  <si>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</si>
  <si>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</si>
  <si>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</si>
  <si>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</si>
  <si>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</si>
  <si>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</si>
  <si>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</si>
  <si>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</si>
  <si>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</si>
  <si>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</si>
  <si>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</si>
  <si>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</si>
  <si>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</si>
  <si>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</si>
  <si>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</si>
  <si>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</si>
  <si>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</si>
  <si>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</si>
  <si>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</si>
  <si>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</si>
  <si>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</si>
  <si>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</si>
  <si>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</si>
  <si>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</si>
  <si>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</si>
  <si>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</si>
  <si>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</si>
  <si>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</si>
  <si>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</si>
  <si>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</si>
  <si>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</si>
  <si>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</si>
  <si>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</si>
  <si>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</si>
  <si>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</si>
  <si>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</si>
  <si>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</si>
  <si>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</si>
  <si>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</si>
  <si>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</si>
  <si>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</si>
  <si>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</si>
  <si>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</si>
  <si>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</si>
  <si>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</si>
  <si>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</si>
  <si>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</si>
  <si>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</si>
  <si>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</si>
  <si>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</si>
  <si>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</si>
  <si>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</si>
  <si>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</si>
  <si>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</si>
  <si>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</si>
  <si>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</si>
  <si>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</si>
  <si>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</si>
  <si>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</si>
  <si>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</si>
  <si>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</si>
  <si>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</si>
  <si>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</si>
  <si>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</si>
  <si>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</si>
  <si>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</si>
  <si>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</si>
  <si>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</si>
  <si>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</si>
  <si>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</si>
  <si>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</si>
  <si>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</si>
  <si>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</si>
  <si>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</si>
  <si>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</si>
  <si>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</si>
  <si>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</si>
  <si>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</si>
  <si>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</si>
  <si>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</si>
  <si>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</si>
  <si>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</si>
  <si>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</si>
  <si>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</si>
  <si>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</si>
  <si>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</si>
  <si>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</si>
  <si>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</si>
  <si>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</si>
  <si>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</si>
  <si>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</si>
  <si>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</si>
  <si>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</si>
  <si>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</si>
  <si>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</si>
  <si>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</si>
  <si>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</si>
  <si>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</si>
  <si>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</si>
  <si>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</si>
  <si>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</si>
  <si>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</si>
  <si>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</si>
  <si>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</si>
  <si>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</si>
  <si>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</si>
  <si>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</si>
  <si>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</si>
  <si>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</si>
  <si>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</si>
  <si>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</si>
  <si>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</si>
  <si>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</si>
  <si>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</si>
  <si>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</si>
  <si>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</si>
  <si>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</si>
  <si>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</si>
  <si>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</si>
  <si>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</si>
  <si>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</si>
  <si>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</si>
  <si>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</si>
  <si>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</si>
  <si>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</si>
  <si>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</si>
  <si>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</si>
  <si>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</si>
  <si>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</si>
  <si>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</si>
  <si>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</si>
  <si>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</si>
  <si>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</si>
  <si>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</si>
  <si>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</si>
  <si>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</si>
  <si>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</si>
  <si>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</si>
  <si>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</si>
  <si>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</si>
  <si>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</si>
  <si>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</si>
  <si>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</si>
  <si>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</si>
  <si>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</si>
  <si>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</si>
  <si>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</si>
  <si>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</si>
  <si>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</si>
  <si>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</si>
  <si>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</si>
  <si>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</si>
  <si>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</si>
  <si>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</si>
  <si>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</si>
  <si>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</si>
  <si>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</si>
  <si>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</si>
  <si>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</si>
  <si>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</si>
  <si>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</si>
  <si>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</si>
  <si>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</si>
  <si>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</si>
  <si>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</si>
  <si>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</si>
  <si>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</si>
  <si>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</si>
  <si>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</si>
  <si>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</si>
  <si>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</si>
  <si>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</si>
  <si>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</si>
  <si>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</si>
  <si>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</si>
  <si>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</si>
  <si>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</si>
  <si>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</si>
  <si>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</si>
  <si>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</si>
  <si>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</si>
  <si>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</si>
  <si>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</si>
  <si>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</si>
  <si>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</si>
  <si>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</si>
  <si>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</si>
  <si>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</si>
  <si>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</si>
  <si>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</si>
  <si>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</si>
  <si>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</si>
  <si>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</si>
  <si>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</si>
  <si>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</si>
  <si>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</si>
  <si>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</si>
  <si>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</si>
  <si>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</si>
  <si>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</si>
  <si>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</si>
  <si>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</si>
  <si>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</si>
  <si>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</si>
  <si>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</si>
  <si>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</si>
  <si>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</si>
  <si>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</si>
  <si>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</si>
  <si>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</si>
  <si>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</si>
  <si>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</si>
  <si>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</si>
  <si>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</si>
  <si>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</si>
  <si>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</si>
  <si>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</si>
  <si>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</si>
  <si>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</si>
  <si>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</si>
  <si>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</si>
  <si>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</si>
  <si>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</si>
  <si>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</si>
  <si>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</si>
  <si>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</si>
  <si>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</si>
  <si>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</si>
  <si>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</si>
  <si>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</si>
  <si>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</si>
  <si>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</si>
  <si>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</si>
  <si>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</si>
  <si>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</si>
  <si>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</si>
  <si>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</si>
  <si>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</si>
  <si>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</si>
  <si>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</si>
  <si>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</si>
  <si>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</si>
  <si>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</si>
  <si>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</si>
  <si>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</si>
  <si>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</si>
  <si>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</si>
  <si>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</si>
  <si>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</si>
  <si>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</si>
  <si>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</si>
  <si>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</si>
  <si>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</si>
  <si>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</si>
  <si>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</si>
  <si>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</si>
  <si>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</si>
  <si>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</si>
  <si>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</si>
  <si>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</si>
  <si>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</si>
  <si>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</si>
  <si>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</si>
  <si>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</si>
  <si>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</si>
  <si>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</si>
  <si>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</si>
  <si>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</si>
  <si>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</si>
  <si>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</si>
  <si>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</si>
  <si>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</si>
  <si>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</si>
  <si>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</si>
  <si>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</si>
  <si>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</si>
  <si>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</si>
  <si>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</si>
  <si>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</si>
  <si>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</si>
  <si>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</si>
  <si>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</si>
  <si>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</si>
  <si>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</si>
  <si>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</si>
  <si>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</si>
  <si>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</si>
  <si>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</si>
  <si>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</si>
  <si>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</si>
  <si>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</si>
  <si>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</si>
  <si>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</si>
  <si>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</si>
  <si>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</si>
  <si>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</si>
  <si>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</si>
  <si>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</si>
  <si>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</si>
  <si>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</si>
  <si>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</si>
  <si>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</si>
  <si>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</si>
  <si>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</si>
  <si>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</si>
  <si>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</si>
  <si>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</si>
  <si>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</si>
  <si>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</si>
  <si>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</si>
  <si>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</si>
  <si>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</si>
  <si>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</si>
  <si>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</si>
  <si>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</si>
  <si>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</si>
  <si>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</si>
  <si>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</si>
  <si>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</si>
  <si>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</si>
  <si>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</si>
  <si>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</si>
  <si>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</si>
  <si>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</si>
  <si>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</si>
  <si>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</si>
  <si>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</si>
  <si>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</si>
  <si>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</si>
  <si>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</si>
  <si>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</si>
  <si>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</si>
  <si>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</si>
  <si>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</si>
  <si>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</si>
  <si>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</si>
  <si>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</si>
  <si>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</si>
  <si>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</si>
  <si>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</si>
  <si>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</si>
  <si>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</si>
  <si>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</si>
  <si>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</si>
  <si>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</si>
  <si>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</si>
  <si>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</si>
  <si>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</si>
  <si>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</si>
  <si>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</si>
  <si>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</si>
  <si>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</si>
  <si>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</si>
  <si>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</si>
  <si>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</si>
  <si>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</si>
  <si>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</si>
  <si>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</si>
  <si>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</si>
  <si>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</si>
  <si>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</si>
  <si>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</si>
  <si>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</si>
  <si>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</si>
  <si>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</si>
  <si>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</si>
  <si>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</si>
  <si>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</si>
  <si>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</si>
  <si>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</si>
  <si>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</si>
  <si>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</si>
  <si>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</si>
  <si>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</si>
  <si>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</si>
  <si>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</si>
  <si>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</si>
  <si>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</si>
  <si>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</si>
  <si>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</si>
  <si>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</si>
  <si>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</si>
  <si>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</si>
  <si>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</si>
  <si>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</si>
  <si>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</si>
  <si>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</si>
  <si>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</si>
  <si>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</si>
  <si>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</si>
  <si>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</si>
  <si>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</si>
  <si>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</si>
  <si>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</si>
  <si>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</si>
  <si>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</si>
  <si>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</si>
  <si>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</si>
  <si>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</si>
  <si>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</si>
  <si>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</si>
  <si>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</si>
  <si>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</si>
  <si>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</si>
  <si>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</si>
  <si>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</si>
  <si>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</si>
  <si>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</si>
  <si>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</si>
  <si>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</si>
  <si>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</si>
  <si>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</si>
  <si>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</si>
  <si>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</si>
  <si>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</si>
  <si>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</si>
  <si>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</si>
  <si>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</si>
  <si>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</si>
  <si>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</si>
  <si>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</si>
  <si>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</si>
  <si>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</si>
  <si>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</si>
  <si>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</si>
  <si>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</si>
  <si>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</si>
  <si>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</si>
  <si>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</si>
  <si>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</si>
  <si>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</si>
  <si>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</si>
  <si>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</si>
  <si>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</si>
  <si>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</si>
  <si>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</si>
  <si>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</si>
  <si>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</si>
  <si>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</si>
  <si>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</si>
  <si>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</si>
  <si>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</si>
  <si>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</si>
  <si>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</si>
  <si>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</si>
  <si>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</si>
  <si>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</si>
  <si>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</si>
  <si>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</si>
  <si>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</si>
  <si>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</si>
  <si>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</si>
  <si>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</si>
  <si>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</si>
  <si>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</si>
  <si>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</si>
  <si>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</si>
  <si>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</si>
  <si>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</si>
  <si>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</si>
  <si>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</si>
  <si>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</si>
  <si>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</si>
  <si>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</si>
  <si>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</si>
  <si>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</si>
  <si>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</si>
  <si>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</si>
  <si>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</si>
  <si>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</si>
  <si>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</si>
  <si>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</si>
  <si>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</si>
  <si>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</si>
  <si>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</si>
  <si>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</si>
  <si>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</si>
  <si>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</si>
  <si>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</si>
  <si>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</si>
  <si>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</si>
  <si>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</si>
  <si>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</si>
  <si>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</si>
  <si>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</si>
  <si>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</si>
  <si>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</si>
  <si>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</si>
  <si>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</si>
  <si>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</si>
  <si>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</si>
  <si>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</si>
  <si>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</si>
  <si>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</si>
  <si>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</si>
  <si>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</si>
  <si>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</si>
  <si>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</si>
  <si>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</si>
  <si>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</si>
  <si>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</si>
  <si>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</si>
  <si>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</si>
  <si>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</si>
  <si>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</si>
  <si>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</si>
  <si>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</si>
  <si>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</si>
  <si>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</si>
  <si>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</si>
  <si>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</si>
  <si>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</si>
  <si>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</si>
  <si>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</si>
  <si>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</si>
  <si>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</si>
  <si>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</si>
  <si>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</si>
  <si>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</si>
  <si>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</si>
  <si>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</si>
  <si>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</si>
  <si>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</si>
  <si>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</si>
  <si>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</si>
  <si>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</si>
  <si>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</si>
  <si>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</si>
  <si>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</si>
  <si>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</si>
  <si>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</si>
  <si>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</si>
  <si>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</si>
  <si>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</si>
  <si>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</si>
  <si>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</si>
  <si>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</si>
  <si>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</si>
  <si>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</si>
  <si>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</si>
  <si>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</si>
  <si>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</si>
  <si>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</si>
  <si>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</si>
  <si>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</si>
  <si>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</si>
  <si>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</si>
  <si>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</si>
  <si>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</si>
  <si>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</si>
  <si>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</si>
  <si>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</si>
  <si>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</si>
  <si>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</si>
  <si>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</si>
  <si>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</si>
  <si>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</si>
  <si>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</si>
  <si>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</si>
  <si>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</si>
  <si>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</si>
  <si>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</si>
  <si>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</si>
  <si>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</si>
  <si>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</si>
  <si>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</si>
  <si>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</si>
  <si>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</si>
  <si>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</si>
  <si>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</si>
  <si>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</si>
  <si>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</si>
  <si>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</si>
  <si>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</si>
  <si>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</si>
  <si>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</si>
  <si>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</si>
  <si>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</si>
  <si>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</si>
  <si>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</si>
  <si>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</si>
  <si>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</si>
  <si>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</si>
  <si>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</si>
  <si>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</si>
  <si>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</si>
  <si>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</si>
  <si>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</si>
  <si>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</si>
  <si>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</si>
  <si>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</si>
  <si>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</si>
  <si>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</si>
  <si>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</si>
  <si>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</si>
  <si>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</si>
  <si>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</si>
  <si>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</si>
  <si>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</si>
  <si>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</si>
  <si>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</si>
  <si>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</si>
  <si>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</si>
  <si>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</si>
  <si>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</si>
  <si>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</si>
  <si>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</si>
  <si>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</si>
  <si>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</si>
  <si>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</si>
  <si>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</si>
  <si>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</si>
  <si>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</si>
  <si>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</si>
  <si>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</si>
  <si>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</si>
  <si>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</si>
  <si>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</si>
  <si>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</si>
  <si>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</si>
  <si>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</si>
  <si>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</si>
  <si>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</si>
  <si>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</si>
  <si>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</si>
  <si>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</si>
  <si>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</si>
  <si>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</si>
  <si>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</si>
  <si>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</si>
  <si>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</si>
  <si>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</si>
  <si>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</si>
  <si>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</si>
  <si>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</si>
  <si>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</si>
  <si>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</si>
  <si>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</si>
  <si>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</si>
  <si>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</si>
  <si>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</si>
  <si>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</si>
  <si>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</si>
  <si>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</si>
  <si>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</si>
  <si>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</si>
  <si>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</si>
  <si>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</si>
  <si>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</si>
  <si>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</si>
  <si>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</si>
  <si>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</si>
  <si>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</si>
  <si>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</si>
  <si>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</si>
  <si>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</si>
  <si>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</si>
  <si>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</si>
  <si>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</si>
  <si>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</si>
  <si>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</si>
  <si>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</si>
  <si>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</si>
  <si>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</si>
  <si>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</si>
  <si>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</si>
  <si>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</si>
  <si>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</si>
  <si>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</si>
  <si>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</si>
  <si>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</si>
  <si>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</si>
  <si>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</si>
  <si>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</si>
  <si>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</si>
  <si>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</si>
  <si>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</si>
  <si>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</si>
  <si>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</si>
  <si>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</si>
  <si>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</si>
  <si>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</si>
  <si>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</si>
  <si>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</si>
  <si>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</si>
  <si>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</si>
  <si>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</si>
  <si>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</si>
  <si>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</si>
  <si>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</si>
  <si>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</si>
  <si>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</si>
  <si>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</si>
  <si>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</si>
  <si>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</si>
  <si>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</si>
  <si>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</si>
  <si>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</si>
  <si>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</si>
  <si>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</si>
  <si>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</si>
  <si>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</si>
  <si>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</si>
  <si>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</si>
  <si>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</si>
  <si>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</si>
  <si>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</si>
  <si>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</si>
  <si>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</si>
  <si>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</si>
  <si>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</si>
  <si>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</si>
  <si>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</si>
  <si>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</si>
  <si>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</si>
  <si>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</si>
  <si>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</si>
  <si>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</si>
  <si>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</si>
  <si>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</si>
  <si>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</si>
  <si>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</si>
  <si>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</si>
  <si>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</si>
  <si>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</si>
  <si>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</si>
  <si>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</si>
  <si>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</si>
  <si>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</si>
  <si>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</si>
  <si>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</si>
  <si>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</si>
  <si>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</si>
  <si>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</si>
  <si>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</si>
  <si>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</si>
  <si>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</si>
  <si>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</si>
  <si>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</si>
  <si>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</si>
  <si>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</si>
  <si>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</si>
  <si>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</si>
  <si>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</si>
  <si>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</si>
  <si>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</si>
  <si>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</si>
  <si>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</si>
  <si>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</si>
  <si>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</si>
  <si>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</si>
  <si>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</si>
  <si>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</si>
  <si>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</si>
  <si>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</si>
  <si>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</si>
  <si>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</si>
  <si>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</si>
  <si>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</si>
  <si>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</si>
  <si>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</si>
  <si>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</si>
  <si>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</si>
  <si>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</si>
  <si>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</si>
  <si>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</si>
  <si>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</si>
  <si>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</si>
  <si>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</si>
  <si>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</si>
  <si>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</si>
  <si>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</si>
  <si>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</si>
  <si>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</si>
  <si>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</si>
  <si>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</si>
  <si>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</si>
  <si>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</si>
  <si>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</si>
  <si>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</si>
  <si>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</si>
  <si>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</si>
  <si>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</si>
  <si>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</si>
  <si>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</si>
  <si>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</si>
  <si>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</si>
  <si>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</si>
  <si>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</si>
  <si>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</si>
  <si>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</si>
  <si>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</si>
  <si>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</si>
  <si>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</si>
  <si>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</si>
  <si>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</si>
  <si>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</si>
  <si>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</si>
  <si>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</si>
  <si>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</si>
  <si>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</si>
  <si>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</si>
  <si>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</si>
  <si>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</si>
  <si>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</si>
  <si>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</si>
  <si>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</si>
  <si>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</si>
  <si>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</si>
  <si>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</si>
  <si>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</si>
  <si>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</si>
  <si>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</si>
  <si>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</si>
  <si>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</si>
  <si>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</si>
  <si>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</si>
  <si>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</si>
  <si>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</si>
  <si>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</si>
  <si>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</si>
  <si>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</si>
  <si>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</si>
  <si>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</si>
  <si>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</si>
  <si>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</si>
  <si>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</si>
  <si>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</si>
  <si>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</si>
  <si>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</si>
  <si>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</si>
  <si>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</si>
  <si>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</si>
  <si>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</si>
  <si>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</si>
  <si>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</si>
  <si>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</si>
  <si>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</si>
  <si>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</si>
  <si>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</si>
  <si>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</si>
  <si>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</si>
  <si>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</si>
  <si>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</si>
  <si>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</si>
  <si>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</si>
  <si>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</si>
  <si>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</si>
  <si>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</si>
  <si>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</si>
  <si>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</si>
  <si>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</si>
  <si>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</si>
  <si>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</si>
  <si>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</si>
  <si>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</si>
  <si>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</si>
  <si>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</si>
  <si>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</si>
  <si>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</si>
  <si>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</si>
  <si>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</si>
  <si>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</si>
  <si>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</si>
  <si>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</si>
  <si>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</si>
  <si>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</si>
  <si>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</si>
  <si>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</si>
  <si>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</si>
  <si>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</si>
  <si>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</si>
  <si>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</si>
  <si>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</si>
  <si>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</si>
  <si>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</si>
  <si>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</si>
  <si>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</si>
  <si>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</si>
  <si>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</si>
  <si>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</si>
  <si>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</si>
  <si>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</si>
  <si>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</si>
  <si>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</si>
  <si>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</si>
  <si>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</si>
  <si>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</si>
  <si>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</si>
  <si>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</si>
  <si>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</si>
  <si>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</si>
  <si>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</si>
  <si>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</si>
  <si>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</si>
  <si>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</si>
  <si>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</si>
  <si>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</si>
  <si>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</si>
  <si>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</si>
  <si>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</si>
  <si>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</si>
  <si>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</si>
  <si>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</si>
  <si>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</si>
  <si>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</si>
  <si>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</si>
  <si>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</si>
  <si>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</si>
  <si>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</si>
  <si>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</si>
  <si>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</si>
  <si>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</si>
  <si>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</si>
  <si>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</si>
  <si>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</si>
  <si>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</si>
  <si>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</si>
  <si>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</si>
  <si>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</si>
  <si>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</si>
  <si>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</si>
  <si>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</si>
  <si>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</si>
  <si>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</si>
  <si>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</si>
  <si>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</si>
  <si>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</si>
  <si>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</si>
  <si>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</si>
  <si>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</si>
  <si>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</si>
  <si>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</si>
  <si>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</si>
  <si>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</si>
  <si>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</si>
  <si>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</si>
  <si>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</si>
  <si>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</si>
  <si>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</si>
  <si>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</si>
  <si>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</si>
  <si>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</si>
  <si>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</si>
  <si>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</si>
  <si>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</si>
  <si>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</si>
  <si>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</si>
  <si>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</si>
  <si>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</si>
  <si>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</si>
  <si>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</si>
  <si>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</si>
  <si>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</si>
  <si>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</si>
  <si>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</si>
  <si>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</si>
  <si>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</si>
  <si>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</si>
  <si>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</si>
  <si>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</si>
  <si>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</si>
  <si>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</si>
  <si>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</si>
  <si>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</si>
  <si>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</si>
  <si>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</si>
  <si>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</si>
  <si>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</si>
  <si>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</si>
  <si>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</si>
  <si>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</si>
  <si>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</si>
  <si>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</si>
  <si>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</si>
  <si>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</si>
  <si>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</si>
  <si>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</si>
  <si>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</si>
  <si>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</si>
  <si>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</si>
  <si>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</si>
  <si>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</si>
  <si>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</si>
  <si>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</si>
  <si>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</si>
  <si>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</si>
  <si>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</si>
  <si>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</si>
  <si>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</si>
  <si>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</si>
  <si>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</si>
  <si>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</si>
  <si>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</si>
  <si>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</si>
  <si>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</si>
  <si>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</si>
  <si>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</si>
  <si>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</si>
  <si>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</si>
  <si>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</si>
  <si>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</si>
  <si>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</si>
  <si>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</si>
  <si>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</si>
  <si>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</si>
  <si>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</si>
  <si>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</si>
  <si>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</si>
  <si>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</si>
  <si>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</si>
  <si>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</si>
  <si>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</si>
  <si>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</si>
  <si>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</si>
  <si>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</si>
  <si>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</si>
  <si>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</si>
  <si>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</si>
  <si>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</si>
  <si>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</si>
  <si>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</si>
  <si>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</si>
  <si>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</si>
  <si>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</si>
  <si>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</si>
  <si>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</si>
  <si>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</si>
  <si>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</si>
  <si>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</si>
  <si>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</si>
  <si>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</si>
  <si>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</si>
  <si>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</si>
  <si>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</si>
  <si>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</si>
  <si>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</si>
  <si>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</si>
  <si>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</si>
  <si>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</si>
  <si>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</si>
  <si>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</si>
  <si>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</si>
  <si>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</si>
  <si>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</si>
  <si>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</si>
  <si>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</si>
  <si>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</si>
  <si>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</si>
  <si>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</si>
  <si>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</si>
  <si>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</si>
  <si>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</si>
  <si>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</si>
  <si>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</si>
  <si>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</si>
  <si>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</si>
  <si>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</si>
  <si>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</si>
  <si>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</si>
  <si>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</si>
  <si>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</si>
  <si>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</si>
  <si>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</si>
  <si>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</si>
  <si>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</si>
  <si>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</si>
  <si>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</si>
  <si>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</si>
  <si>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</si>
  <si>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</si>
  <si>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</si>
  <si>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</si>
  <si>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</si>
  <si>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</si>
  <si>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</si>
  <si>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</si>
  <si>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</si>
  <si>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</si>
  <si>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</si>
  <si>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</si>
  <si>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</si>
  <si>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</si>
  <si>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</si>
  <si>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</si>
  <si>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</si>
  <si>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</si>
  <si>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</si>
  <si>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</si>
  <si>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</si>
  <si>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</si>
  <si>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</si>
  <si>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</si>
  <si>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</si>
  <si>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</si>
  <si>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</si>
  <si>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</si>
  <si>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</si>
  <si>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</si>
  <si>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</si>
  <si>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</si>
  <si>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</si>
  <si>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</si>
  <si>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</si>
  <si>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</si>
  <si>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</si>
  <si>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</si>
  <si>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</si>
  <si>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</si>
  <si>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</si>
  <si>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</si>
  <si>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</si>
  <si>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</si>
  <si>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</si>
  <si>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</si>
  <si>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</si>
  <si>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</si>
  <si>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</si>
  <si>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</si>
  <si>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</si>
  <si>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</si>
  <si>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</si>
  <si>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</si>
  <si>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</si>
  <si>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</si>
  <si>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</si>
  <si>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</si>
  <si>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</si>
  <si>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</si>
  <si>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</si>
  <si>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</si>
  <si>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</si>
  <si>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</si>
  <si>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</si>
  <si>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</si>
  <si>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</si>
  <si>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</si>
  <si>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</si>
  <si>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</si>
  <si>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</si>
  <si>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</si>
  <si>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</si>
  <si>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</si>
  <si>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</si>
  <si>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</si>
  <si>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</si>
  <si>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</si>
  <si>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</si>
  <si>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</si>
  <si>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</si>
  <si>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</si>
  <si>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</si>
  <si>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</si>
  <si>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</si>
  <si>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</si>
  <si>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</si>
  <si>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</si>
  <si>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</si>
  <si>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</si>
  <si>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</si>
  <si>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</si>
  <si>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</si>
  <si>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</si>
  <si>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</si>
  <si>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</si>
  <si>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</si>
  <si>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</si>
  <si>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</si>
  <si>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</si>
  <si>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</si>
  <si>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</si>
  <si>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</si>
  <si>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</si>
  <si>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</si>
  <si>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</si>
  <si>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</si>
  <si>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</si>
  <si>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</si>
  <si>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</si>
  <si>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</si>
  <si>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</si>
  <si>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</si>
  <si>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</si>
  <si>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</si>
  <si>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</si>
  <si>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</si>
  <si>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</si>
  <si>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</si>
  <si>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</si>
  <si>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</si>
  <si>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</si>
  <si>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</si>
  <si>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</si>
  <si>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</si>
  <si>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</si>
  <si>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</si>
  <si>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</si>
  <si>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</si>
  <si>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</si>
  <si>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</si>
  <si>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</si>
  <si>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</si>
  <si>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</si>
  <si>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</si>
  <si>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</si>
  <si>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</si>
  <si>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</si>
  <si>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</si>
  <si>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</si>
  <si>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</si>
  <si>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</si>
  <si>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</si>
  <si>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</si>
  <si>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</si>
  <si>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</si>
  <si>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</si>
  <si>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</si>
  <si>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</si>
  <si>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</si>
  <si>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</si>
  <si>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</si>
  <si>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</si>
  <si>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</si>
  <si>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</si>
  <si>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</si>
  <si>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</si>
  <si>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</si>
  <si>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</si>
  <si>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</si>
  <si>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</si>
  <si>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</si>
  <si>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</si>
  <si>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</si>
  <si>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</si>
  <si>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</si>
  <si>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</si>
  <si>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</si>
  <si>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</si>
  <si>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</si>
  <si>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</si>
  <si>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</si>
  <si>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</si>
  <si>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</si>
  <si>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</si>
  <si>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</si>
  <si>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</si>
  <si>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</si>
  <si>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</si>
  <si>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</si>
  <si>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</si>
  <si>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</si>
  <si>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</si>
  <si>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</si>
  <si>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</si>
  <si>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</si>
  <si>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</si>
  <si>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</si>
  <si>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</si>
  <si>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</si>
  <si>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</si>
  <si>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</si>
  <si>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</si>
  <si>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</si>
  <si>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</si>
  <si>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</si>
  <si>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</si>
  <si>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</si>
  <si>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</si>
  <si>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</si>
  <si>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</si>
  <si>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</si>
  <si>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</si>
  <si>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</si>
  <si>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</si>
  <si>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</si>
  <si>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</si>
  <si>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</si>
  <si>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</si>
  <si>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</si>
  <si>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</si>
  <si>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</si>
  <si>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</si>
  <si>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</si>
  <si>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</si>
  <si>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</si>
  <si>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</si>
  <si>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</si>
  <si>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</si>
  <si>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</si>
  <si>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</si>
  <si>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</si>
  <si>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</si>
  <si>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</si>
  <si>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</si>
  <si>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</si>
  <si>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</si>
  <si>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</si>
  <si>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</si>
  <si>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</si>
  <si>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</si>
  <si>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</si>
  <si>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</si>
  <si>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</si>
  <si>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</si>
  <si>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</si>
  <si>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</si>
  <si>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</si>
  <si>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</si>
  <si>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</si>
  <si>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</si>
  <si>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</si>
  <si>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</si>
  <si>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</si>
  <si>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</si>
  <si>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</si>
  <si>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</si>
  <si>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</si>
  <si>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</si>
  <si>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</si>
  <si>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</si>
  <si>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</si>
  <si>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</si>
  <si>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</si>
  <si>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</si>
  <si>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</si>
  <si>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</si>
  <si>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</si>
  <si>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</si>
  <si>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</si>
  <si>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</si>
  <si>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</si>
  <si>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</si>
  <si>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</si>
  <si>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</si>
  <si>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</si>
  <si>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</si>
  <si>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</si>
  <si>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</si>
  <si>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</si>
  <si>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</si>
  <si>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</si>
  <si>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</si>
  <si>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</si>
  <si>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</si>
  <si>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</si>
  <si>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</si>
  <si>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</si>
  <si>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</si>
  <si>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</si>
  <si>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</si>
  <si>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</si>
  <si>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</si>
  <si>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</si>
  <si>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</si>
  <si>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</si>
  <si>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</si>
  <si>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</si>
  <si>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</si>
  <si>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</si>
  <si>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</si>
  <si>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</si>
  <si>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</si>
  <si>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</si>
  <si>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</si>
  <si>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</si>
  <si>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</si>
  <si>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</si>
  <si>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</si>
  <si>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</si>
  <si>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</si>
  <si>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</si>
  <si>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</si>
  <si>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</si>
  <si>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</si>
  <si>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</si>
  <si>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</si>
  <si>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</si>
  <si>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</si>
  <si>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</si>
  <si>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</si>
  <si>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</si>
  <si>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</si>
  <si>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</si>
  <si>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</si>
  <si>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</si>
  <si>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</si>
  <si>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</si>
  <si>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</si>
  <si>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</si>
  <si>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</si>
  <si>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</si>
  <si>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</si>
  <si>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</si>
  <si>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</si>
  <si>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</si>
  <si>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</si>
  <si>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</si>
  <si>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</si>
  <si>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</si>
  <si>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</si>
  <si>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</si>
  <si>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</si>
  <si>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</si>
  <si>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</si>
  <si>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</si>
  <si>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</si>
  <si>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</si>
  <si>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</si>
  <si>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</si>
  <si>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</si>
  <si>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</si>
  <si>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</si>
  <si>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</si>
  <si>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</si>
  <si>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</si>
  <si>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</si>
  <si>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</si>
  <si>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</si>
  <si>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</si>
  <si>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</si>
  <si>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</si>
  <si>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</si>
  <si>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</si>
  <si>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</si>
  <si>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</si>
  <si>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</si>
  <si>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</si>
  <si>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</si>
  <si>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</si>
  <si>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</si>
  <si>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</si>
  <si>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</si>
  <si>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</si>
  <si>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</si>
  <si>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</si>
  <si>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</si>
  <si>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</si>
  <si>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</si>
  <si>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</si>
  <si>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</si>
  <si>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</si>
  <si>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</si>
  <si>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</si>
  <si>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</si>
  <si>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</si>
  <si>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</si>
  <si>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</si>
  <si>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</si>
  <si>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</si>
  <si>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</si>
  <si>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</si>
  <si>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</si>
  <si>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</si>
  <si>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</si>
  <si>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</si>
  <si>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</si>
  <si>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</si>
  <si>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</si>
  <si>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</si>
  <si>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</si>
  <si>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</si>
  <si>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</si>
  <si>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</si>
  <si>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</si>
  <si>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</si>
  <si>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</si>
  <si>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</si>
  <si>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</si>
  <si>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</si>
  <si>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</si>
  <si>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</si>
  <si>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</si>
  <si>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</si>
  <si>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</si>
  <si>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</si>
  <si>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</si>
  <si>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</si>
  <si>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</si>
  <si>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</si>
  <si>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</si>
  <si>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</si>
  <si>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</si>
  <si>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</si>
  <si>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</si>
  <si>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</si>
  <si>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</si>
  <si>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</si>
  <si>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</si>
  <si>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</si>
  <si>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</si>
  <si>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</si>
  <si>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</si>
  <si>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</si>
  <si>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</si>
  <si>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</si>
  <si>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</si>
  <si>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</si>
  <si>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</si>
  <si>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</si>
  <si>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</si>
  <si>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</si>
  <si>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</si>
  <si>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</si>
  <si>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</si>
  <si>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</si>
  <si>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</si>
  <si>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</si>
  <si>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</si>
  <si>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</si>
  <si>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</si>
  <si>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</si>
  <si>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</si>
  <si>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</si>
  <si>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</si>
  <si>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</si>
  <si>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</si>
  <si>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</si>
  <si>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</si>
  <si>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</si>
  <si>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</si>
  <si>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</si>
  <si>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</si>
  <si>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</si>
  <si>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</si>
  <si>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</si>
  <si>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</si>
  <si>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</si>
  <si>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</si>
  <si>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</si>
  <si>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</si>
  <si>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</si>
  <si>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</si>
  <si>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</si>
  <si>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</si>
  <si>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</si>
  <si>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</si>
  <si>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</si>
  <si>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</si>
  <si>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</si>
  <si>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</si>
  <si>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</si>
  <si>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</si>
  <si>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</si>
  <si>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</si>
  <si>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</si>
  <si>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</si>
  <si>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</si>
  <si>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</si>
  <si>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</si>
  <si>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</si>
  <si>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</si>
  <si>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</si>
  <si>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</si>
  <si>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</si>
  <si>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</si>
  <si>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</si>
  <si>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</si>
  <si>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</si>
  <si>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</si>
  <si>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</si>
  <si>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</si>
  <si>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</si>
  <si>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</si>
  <si>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</si>
  <si>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</si>
  <si>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</si>
  <si>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</si>
  <si>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</si>
  <si>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</si>
  <si>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</si>
  <si>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</si>
  <si>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</si>
  <si>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</si>
  <si>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</si>
  <si>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</si>
  <si>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</si>
  <si>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</si>
  <si>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</si>
  <si>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</si>
  <si>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</si>
  <si>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</si>
  <si>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</si>
  <si>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</si>
  <si>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</si>
  <si>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</si>
  <si>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</si>
  <si>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</si>
  <si>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</si>
  <si>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</si>
  <si>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</si>
  <si>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</si>
  <si>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</si>
  <si>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</si>
  <si>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</si>
  <si>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</si>
  <si>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</si>
  <si>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</si>
  <si>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</si>
  <si>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</si>
  <si>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</si>
  <si>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</si>
  <si>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</si>
  <si>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</si>
  <si>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</si>
  <si>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</si>
  <si>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</si>
  <si>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</si>
  <si>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</si>
  <si>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</si>
  <si>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</si>
  <si>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</si>
  <si>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</si>
  <si>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</si>
  <si>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</si>
  <si>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</si>
  <si>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</si>
  <si>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</si>
  <si>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</si>
  <si>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</si>
  <si>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</si>
  <si>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</si>
  <si>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</si>
  <si>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</si>
  <si>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</si>
  <si>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</si>
  <si>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</si>
  <si>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</si>
  <si>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</si>
  <si>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</si>
  <si>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</si>
  <si>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</si>
  <si>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</si>
  <si>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</si>
  <si>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</si>
  <si>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</si>
  <si>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</si>
  <si>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</si>
  <si>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</si>
  <si>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</si>
  <si>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</si>
  <si>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</si>
  <si>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</si>
  <si>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</si>
  <si>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</si>
  <si>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</si>
  <si>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</si>
  <si>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</si>
  <si>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</si>
  <si>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</si>
  <si>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</si>
  <si>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</si>
  <si>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</si>
  <si>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</si>
  <si>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</si>
  <si>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</si>
  <si>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</si>
  <si>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</si>
  <si>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</si>
  <si>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</si>
  <si>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</si>
  <si>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</si>
  <si>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</si>
  <si>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</si>
  <si>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</si>
  <si>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</si>
  <si>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</si>
  <si>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</si>
  <si>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</si>
  <si>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</si>
  <si>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</si>
  <si>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</si>
  <si>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</si>
  <si>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</si>
  <si>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</si>
  <si>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</si>
  <si>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</si>
  <si>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</si>
  <si>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</si>
  <si>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</si>
  <si>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</si>
  <si>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</si>
  <si>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</si>
  <si>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</si>
  <si>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</si>
  <si>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</si>
  <si>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</si>
  <si>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</si>
  <si>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</si>
  <si>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</si>
  <si>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</si>
  <si>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</si>
  <si>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</si>
  <si>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</si>
  <si>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</si>
  <si>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</si>
  <si>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</si>
  <si>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</si>
  <si>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</si>
  <si>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</si>
  <si>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</si>
  <si>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</si>
  <si>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</si>
  <si>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</si>
  <si>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</si>
  <si>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</si>
  <si>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</si>
  <si>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</si>
  <si>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</si>
  <si>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</si>
  <si>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</si>
  <si>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</si>
  <si>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</si>
  <si>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</si>
  <si>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</si>
  <si>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</si>
  <si>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</si>
  <si>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</si>
  <si>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</si>
  <si>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</si>
  <si>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</si>
  <si>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</si>
  <si>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</si>
  <si>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</si>
  <si>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</si>
  <si>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</si>
  <si>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</si>
  <si>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</si>
  <si>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</si>
  <si>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</si>
  <si>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</si>
  <si>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</si>
  <si>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</si>
  <si>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</si>
  <si>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</si>
  <si>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</si>
  <si>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</si>
  <si>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</si>
  <si>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</si>
  <si>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</si>
  <si>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</si>
  <si>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</si>
  <si>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</si>
  <si>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</si>
  <si>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</si>
  <si>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</si>
  <si>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</si>
  <si>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</si>
  <si>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</si>
  <si>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</si>
  <si>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</si>
  <si>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</si>
  <si>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</si>
  <si>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</si>
  <si>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</si>
  <si>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</si>
  <si>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</si>
  <si>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</si>
  <si>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</si>
  <si>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</si>
  <si>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</si>
  <si>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</si>
  <si>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</si>
  <si>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</si>
  <si>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</si>
  <si>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</si>
  <si>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</si>
  <si>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</si>
  <si>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</si>
  <si>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</si>
  <si>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</si>
  <si>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</si>
  <si>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</si>
  <si>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</si>
  <si>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</si>
  <si>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</si>
  <si>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</si>
  <si>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</si>
  <si>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</si>
  <si>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</si>
  <si>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</si>
  <si>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</si>
  <si>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</si>
  <si>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</si>
  <si>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</si>
  <si>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</si>
  <si>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</si>
  <si>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</si>
  <si>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</si>
  <si>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</si>
  <si>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</si>
  <si>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</si>
  <si>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</si>
  <si>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</si>
  <si>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</si>
  <si>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</si>
  <si>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</si>
  <si>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</si>
  <si>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</si>
  <si>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</si>
  <si>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</si>
  <si>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</si>
  <si>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</si>
  <si>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</si>
  <si>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</si>
  <si>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</si>
  <si>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</si>
  <si>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</si>
  <si>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</si>
  <si>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</si>
  <si>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</si>
  <si>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</si>
  <si>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</si>
  <si>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</si>
  <si>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</si>
  <si>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</si>
  <si>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</si>
  <si>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</si>
  <si>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</si>
  <si>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</si>
  <si>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</si>
  <si>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</si>
  <si>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</si>
  <si>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</si>
  <si>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</si>
  <si>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</si>
  <si>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</si>
  <si>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</si>
  <si>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</si>
  <si>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</si>
  <si>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</si>
  <si>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</si>
  <si>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</si>
  <si>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</si>
  <si>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</si>
  <si>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</si>
  <si>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</si>
  <si>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</si>
  <si>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</si>
  <si>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</si>
  <si>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</si>
  <si>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</si>
  <si>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</si>
  <si>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</si>
  <si>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</si>
  <si>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</si>
  <si>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</si>
  <si>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</si>
  <si>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</si>
  <si>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</si>
  <si>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</si>
  <si>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</si>
  <si>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</si>
  <si>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</si>
  <si>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</si>
  <si>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</si>
  <si>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</si>
  <si>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</si>
  <si>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</si>
  <si>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</si>
  <si>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</si>
  <si>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</si>
  <si>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</si>
  <si>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</si>
  <si>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</si>
  <si>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</si>
  <si>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</si>
  <si>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</si>
  <si>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</si>
  <si>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</si>
  <si>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</si>
  <si>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</si>
  <si>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</si>
  <si>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</si>
  <si>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</si>
  <si>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</si>
  <si>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</si>
  <si>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</si>
  <si>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</si>
  <si>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</si>
  <si>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</si>
  <si>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</si>
  <si>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</si>
  <si>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</si>
  <si>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</si>
  <si>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</si>
  <si>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</si>
  <si>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</si>
  <si>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</si>
  <si>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</si>
  <si>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</si>
  <si>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</si>
  <si>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</si>
  <si>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</si>
  <si>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</si>
  <si>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</si>
  <si>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</si>
  <si>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</si>
  <si>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</si>
  <si>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</si>
  <si>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</si>
  <si>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</si>
  <si>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</si>
  <si>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</si>
  <si>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</si>
  <si>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</si>
  <si>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</si>
  <si>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</si>
  <si>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</si>
  <si>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</si>
  <si>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</si>
  <si>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</si>
  <si>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</si>
  <si>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</si>
  <si>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</si>
  <si>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</si>
  <si>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</si>
  <si>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</si>
  <si>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</si>
  <si>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</si>
  <si>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</si>
  <si>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</si>
  <si>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</si>
  <si>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</si>
  <si>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</si>
  <si>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</si>
  <si>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</si>
  <si>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</si>
  <si>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</si>
  <si>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</si>
  <si>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</si>
  <si>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</si>
  <si>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</si>
  <si>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</si>
  <si>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</si>
  <si>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</si>
  <si>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</si>
  <si>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</si>
  <si>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</si>
  <si>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</si>
  <si>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</si>
  <si>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</si>
  <si>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</si>
  <si>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</si>
  <si>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</si>
  <si>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</si>
  <si>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</si>
  <si>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</si>
  <si>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</si>
  <si>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</si>
  <si>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</si>
  <si>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</si>
  <si>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</si>
  <si>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</si>
  <si>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</si>
  <si>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</si>
  <si>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</si>
  <si>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</si>
  <si>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</si>
  <si>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</si>
  <si>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</si>
  <si>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</si>
  <si>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</si>
  <si>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</si>
  <si>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</si>
  <si>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</si>
  <si>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</si>
  <si>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</si>
  <si>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</si>
  <si>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</si>
  <si>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</si>
  <si>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</si>
  <si>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</si>
  <si>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</si>
  <si>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</si>
  <si>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</si>
  <si>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</si>
  <si>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</si>
  <si>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</si>
  <si>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</si>
  <si>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</si>
  <si>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</si>
  <si>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</si>
  <si>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</si>
  <si>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</si>
  <si>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</si>
  <si>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</si>
  <si>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</si>
  <si>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</si>
  <si>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</si>
  <si>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</si>
  <si>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</si>
  <si>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</si>
  <si>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</si>
  <si>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</si>
  <si>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</si>
  <si>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</si>
  <si>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</si>
  <si>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</si>
  <si>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</si>
  <si>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</si>
  <si>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</si>
  <si>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</si>
  <si>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</si>
  <si>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</si>
  <si>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</si>
  <si>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</si>
  <si>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</si>
  <si>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</si>
  <si>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</si>
  <si>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</si>
  <si>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</si>
  <si>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</si>
  <si>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</si>
  <si>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</si>
  <si>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</si>
  <si>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</si>
  <si>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</si>
  <si>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</si>
  <si>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</si>
  <si>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</si>
  <si>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</si>
  <si>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</si>
  <si>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</si>
  <si>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</si>
  <si>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</si>
  <si>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</si>
  <si>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</si>
  <si>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</si>
  <si>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</si>
  <si>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</si>
  <si>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</si>
  <si>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</si>
  <si>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</si>
  <si>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</si>
  <si>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</si>
  <si>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</si>
  <si>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</si>
  <si>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</si>
  <si>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</si>
  <si>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</si>
  <si>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</si>
  <si>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</si>
  <si>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</si>
  <si>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</si>
  <si>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</si>
  <si>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</si>
  <si>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</si>
  <si>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</si>
  <si>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</si>
  <si>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</si>
  <si>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</si>
  <si>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</si>
  <si>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</si>
  <si>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</si>
  <si>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</si>
  <si>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</si>
  <si>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</si>
  <si>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</si>
  <si>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</si>
  <si>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</si>
  <si>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</si>
  <si>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</si>
  <si>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</si>
  <si>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</si>
  <si>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</si>
  <si>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</si>
  <si>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</si>
  <si>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</si>
  <si>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</si>
  <si>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</si>
  <si>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</si>
  <si>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</si>
  <si>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</si>
  <si>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</si>
  <si>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</si>
  <si>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</si>
  <si>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</si>
  <si>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</si>
  <si>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</si>
  <si>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</si>
  <si>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</si>
  <si>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</si>
  <si>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</si>
  <si>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</si>
  <si>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</si>
  <si>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</si>
  <si>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</si>
  <si>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</si>
  <si>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</si>
  <si>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</si>
  <si>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</si>
  <si>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</si>
  <si>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</si>
  <si>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</si>
  <si>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</si>
  <si>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</si>
  <si>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</si>
  <si>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</si>
  <si>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</si>
  <si>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</si>
  <si>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</si>
  <si>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</si>
  <si>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</si>
  <si>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</si>
  <si>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</si>
  <si>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</si>
  <si>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</si>
  <si>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</si>
  <si>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</si>
  <si>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</si>
  <si>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</si>
  <si>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</si>
  <si>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</si>
  <si>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</si>
  <si>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</si>
  <si>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</si>
  <si>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</si>
  <si>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</si>
  <si>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</si>
  <si>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</si>
  <si>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</si>
  <si>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</si>
  <si>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</si>
  <si>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</si>
  <si>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</si>
  <si>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</si>
  <si>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</si>
  <si>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</si>
  <si>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</si>
  <si>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</si>
  <si>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</si>
  <si>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</si>
  <si>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</si>
  <si>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</si>
  <si>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</si>
  <si>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</si>
  <si>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</si>
  <si>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</si>
  <si>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</si>
  <si>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</si>
  <si>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</si>
  <si>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</si>
  <si>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</si>
  <si>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</si>
  <si>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</si>
  <si>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</si>
  <si>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</si>
  <si>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</si>
  <si>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</si>
  <si>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</si>
  <si>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</si>
  <si>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</si>
  <si>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</si>
  <si>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</si>
  <si>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</si>
  <si>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</si>
  <si>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</si>
  <si>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</si>
  <si>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</si>
  <si>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</si>
  <si>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</si>
  <si>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</si>
  <si>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</si>
  <si>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</si>
  <si>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</si>
  <si>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</si>
  <si>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</si>
  <si>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</si>
  <si>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</si>
  <si>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</si>
  <si>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</si>
  <si>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</si>
  <si>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</si>
  <si>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</si>
  <si>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</si>
  <si>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</si>
  <si>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</si>
  <si>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</si>
  <si>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</si>
  <si>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</si>
  <si>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</si>
  <si>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</si>
  <si>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</si>
  <si>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</si>
  <si>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</si>
  <si>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</si>
  <si>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</si>
  <si>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</si>
  <si>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</si>
  <si>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</si>
  <si>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</si>
  <si>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</si>
  <si>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</si>
  <si>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</si>
  <si>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</si>
  <si>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</si>
  <si>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</si>
  <si>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</si>
  <si>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</si>
  <si>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</si>
  <si>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</si>
  <si>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</si>
  <si>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</si>
  <si>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</si>
  <si>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</si>
  <si>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</si>
  <si>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</si>
  <si>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</si>
  <si>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</si>
  <si>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</si>
  <si>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</si>
  <si>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</si>
  <si>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</si>
  <si>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</si>
  <si>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</si>
  <si>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</si>
  <si>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</si>
  <si>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</si>
  <si>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</si>
  <si>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</si>
  <si>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</si>
  <si>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</si>
  <si>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</si>
  <si>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</si>
  <si>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</si>
  <si>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</si>
  <si>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</si>
  <si>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</si>
  <si>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</si>
  <si>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</si>
  <si>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</si>
  <si>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</si>
  <si>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</si>
  <si>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</si>
  <si>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</si>
  <si>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</si>
  <si>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</si>
  <si>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</si>
  <si>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</si>
  <si>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</si>
  <si>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</si>
  <si>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</si>
  <si>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</si>
  <si>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</si>
  <si>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</si>
  <si>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</si>
  <si>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</si>
  <si>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</si>
  <si>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</si>
  <si>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</si>
  <si>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</si>
  <si>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</si>
  <si>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</si>
  <si>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</si>
  <si>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</si>
  <si>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</si>
  <si>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</si>
  <si>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</si>
  <si>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</si>
  <si>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</si>
  <si>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</si>
  <si>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</si>
  <si>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</si>
  <si>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</si>
  <si>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</si>
  <si>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</si>
  <si>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</si>
  <si>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</si>
  <si>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</si>
  <si>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</si>
  <si>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</si>
  <si>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</si>
  <si>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</si>
  <si>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</si>
  <si>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</si>
  <si>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</si>
  <si>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</si>
  <si>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</si>
  <si>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</si>
  <si>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</si>
  <si>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</si>
  <si>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</si>
  <si>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</si>
  <si>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</si>
  <si>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</si>
  <si>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</si>
  <si>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</si>
  <si>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</si>
  <si>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</si>
  <si>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</si>
  <si>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</si>
  <si>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</si>
  <si>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</si>
  <si>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</si>
  <si>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</si>
  <si>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</si>
  <si>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</si>
  <si>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</si>
  <si>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</si>
  <si>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</si>
  <si>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</si>
  <si>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</si>
  <si>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</si>
  <si>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</si>
  <si>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</si>
  <si>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</si>
  <si>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</si>
  <si>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</si>
  <si>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</si>
  <si>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</si>
  <si>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</si>
  <si>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</si>
  <si>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</si>
  <si>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</si>
  <si>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</si>
  <si>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</si>
  <si>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</si>
  <si>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</si>
  <si>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</si>
  <si>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</si>
  <si>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</si>
  <si>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</si>
  <si>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</si>
  <si>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</si>
  <si>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</si>
  <si>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</si>
  <si>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</si>
  <si>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</si>
  <si>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</si>
  <si>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</si>
  <si>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</si>
  <si>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</si>
  <si>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</si>
  <si>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</si>
  <si>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</si>
  <si>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</si>
  <si>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</si>
  <si>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</si>
  <si>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</si>
  <si>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</si>
  <si>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</si>
  <si>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</si>
  <si>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</si>
  <si>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</si>
  <si>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</si>
  <si>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</si>
  <si>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</si>
  <si>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</si>
  <si>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</si>
  <si>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</si>
  <si>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</si>
  <si>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</si>
  <si>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</si>
  <si>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</si>
  <si>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</si>
  <si>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</si>
  <si>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</si>
  <si>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</si>
  <si>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</si>
  <si>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</si>
  <si>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</si>
  <si>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</si>
  <si>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</si>
  <si>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</si>
  <si>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</si>
  <si>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</si>
  <si>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</si>
  <si>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</si>
  <si>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</si>
  <si>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</si>
  <si>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</si>
  <si>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</si>
  <si>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</si>
  <si>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</si>
  <si>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</si>
  <si>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</si>
  <si>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</si>
  <si>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</si>
  <si>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</si>
  <si>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</si>
  <si>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</si>
  <si>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</si>
  <si>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</si>
  <si>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</si>
  <si>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</si>
  <si>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</si>
  <si>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</si>
  <si>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</si>
  <si>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</si>
  <si>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</si>
  <si>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</si>
  <si>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</si>
  <si>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</si>
  <si>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</si>
  <si>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</si>
  <si>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</si>
  <si>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</si>
  <si>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</si>
  <si>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</si>
  <si>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</si>
  <si>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</si>
  <si>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</si>
  <si>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</si>
  <si>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</si>
  <si>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</si>
  <si>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</si>
  <si>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</si>
  <si>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</si>
  <si>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</si>
  <si>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</si>
  <si>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</si>
  <si>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</si>
  <si>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</si>
  <si>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</si>
  <si>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</si>
  <si>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</si>
  <si>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</si>
  <si>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</si>
  <si>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</si>
  <si>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</si>
  <si>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</si>
  <si>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</si>
  <si>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</si>
  <si>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</si>
  <si>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</si>
  <si>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</si>
  <si>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</si>
  <si>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</si>
  <si>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</si>
  <si>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</si>
  <si>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</si>
  <si>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</si>
  <si>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</si>
  <si>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</si>
  <si>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</si>
  <si>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</si>
  <si>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</si>
  <si>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</si>
  <si>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</si>
  <si>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</si>
  <si>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</si>
  <si>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</si>
  <si>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</si>
  <si>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</si>
  <si>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</si>
  <si>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</si>
  <si>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</si>
  <si>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</si>
  <si>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</si>
  <si>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</si>
  <si>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</si>
  <si>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</si>
  <si>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</si>
  <si>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</si>
  <si>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</si>
  <si>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</si>
  <si>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</si>
  <si>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</si>
  <si>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</si>
  <si>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</si>
  <si>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</si>
  <si>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</si>
  <si>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</si>
  <si>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</si>
  <si>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</si>
  <si>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</si>
  <si>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</si>
  <si>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</si>
  <si>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</si>
  <si>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</si>
  <si>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</si>
  <si>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</si>
  <si>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</si>
  <si>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</si>
  <si>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</si>
  <si>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</si>
  <si>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</si>
  <si>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</si>
  <si>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</si>
  <si>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</si>
  <si>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</si>
  <si>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</si>
  <si>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</si>
  <si>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</si>
  <si>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</si>
  <si>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</si>
  <si>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</si>
  <si>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</si>
  <si>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</si>
  <si>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</si>
  <si>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</si>
  <si>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</si>
  <si>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</si>
  <si>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</si>
  <si>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</si>
  <si>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</si>
  <si>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</si>
  <si>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</si>
  <si>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</si>
  <si>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</si>
  <si>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</si>
  <si>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</si>
  <si>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</si>
  <si>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</si>
  <si>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</si>
  <si>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</si>
  <si>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</si>
  <si>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</si>
  <si>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</si>
  <si>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</si>
  <si>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</si>
  <si>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</si>
  <si>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</si>
  <si>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</si>
  <si>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</si>
  <si>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</si>
  <si>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</si>
  <si>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</si>
  <si>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</si>
  <si>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</si>
  <si>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</si>
  <si>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</si>
  <si>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</si>
  <si>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</si>
  <si>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</si>
  <si>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</si>
  <si>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</si>
  <si>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</si>
  <si>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</si>
  <si>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</si>
  <si>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</si>
  <si>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</si>
  <si>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</si>
  <si>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</si>
  <si>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</si>
  <si>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</si>
  <si>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</si>
  <si>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</si>
  <si>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</si>
  <si>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</si>
  <si>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</si>
  <si>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</si>
  <si>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</si>
  <si>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</si>
  <si>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</si>
  <si>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</si>
  <si>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</si>
  <si>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</si>
  <si>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</si>
  <si>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</si>
  <si>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</si>
  <si>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</si>
  <si>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</si>
  <si>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</si>
  <si>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</si>
  <si>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</si>
  <si>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</si>
  <si>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</si>
  <si>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</si>
  <si>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</si>
  <si>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</si>
  <si>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</si>
  <si>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</si>
  <si>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</si>
  <si>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</si>
  <si>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</si>
  <si>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</si>
  <si>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</si>
  <si>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</si>
  <si>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</si>
  <si>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</si>
  <si>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</si>
  <si>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</si>
  <si>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</si>
  <si>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</si>
  <si>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</si>
  <si>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</si>
  <si>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</si>
  <si>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</si>
  <si>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</si>
  <si>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</si>
  <si>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</si>
  <si>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</si>
  <si>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</si>
  <si>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</si>
  <si>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</si>
  <si>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</si>
  <si>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</si>
  <si>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</si>
  <si>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</si>
  <si>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</si>
  <si>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</si>
  <si>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</si>
  <si>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</si>
  <si>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</si>
  <si>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</si>
  <si>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</si>
  <si>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</si>
  <si>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</si>
  <si>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</si>
  <si>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</si>
  <si>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</si>
  <si>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</si>
  <si>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</si>
  <si>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</si>
  <si>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</si>
  <si>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</si>
  <si>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</si>
  <si>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</si>
  <si>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</si>
  <si>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</si>
  <si>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</si>
  <si>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</si>
  <si>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</si>
  <si>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</si>
  <si>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</si>
  <si>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</si>
  <si>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</si>
  <si>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</si>
  <si>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</si>
  <si>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</si>
  <si>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</si>
  <si>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</si>
  <si>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</si>
  <si>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</si>
  <si>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</si>
  <si>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</si>
  <si>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</si>
  <si>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</si>
  <si>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</si>
  <si>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</si>
  <si>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</si>
  <si>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</si>
  <si>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</si>
  <si>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</si>
  <si>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</si>
  <si>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</si>
  <si>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</si>
  <si>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</si>
  <si>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</si>
  <si>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</si>
  <si>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</si>
  <si>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</si>
  <si>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</si>
  <si>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</si>
  <si>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</si>
  <si>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</si>
  <si>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</si>
  <si>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</si>
  <si>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</si>
  <si>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</si>
  <si>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</si>
  <si>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</si>
  <si>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</si>
  <si>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</si>
  <si>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</si>
  <si>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</si>
  <si>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</si>
  <si>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</si>
  <si>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</si>
  <si>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</si>
  <si>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</si>
  <si>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</si>
  <si>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</si>
  <si>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</si>
  <si>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</si>
  <si>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</si>
  <si>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</si>
  <si>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</si>
  <si>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</si>
  <si>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</si>
  <si>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</si>
  <si>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</si>
  <si>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</si>
  <si>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</si>
  <si>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</si>
  <si>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</si>
  <si>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</si>
  <si>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</si>
  <si>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</si>
  <si>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</si>
  <si>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</si>
  <si>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</si>
  <si>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</si>
  <si>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</si>
  <si>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</si>
  <si>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</si>
  <si>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</si>
  <si>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</si>
  <si>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</si>
  <si>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</si>
  <si>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</si>
  <si>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</si>
  <si>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</si>
  <si>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</si>
  <si>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</si>
  <si>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</si>
  <si>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</si>
  <si>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</si>
  <si>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</si>
  <si>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</si>
  <si>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</si>
  <si>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</si>
  <si>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</si>
  <si>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</si>
  <si>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</si>
  <si>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</si>
  <si>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</si>
  <si>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</si>
  <si>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</si>
  <si>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</si>
  <si>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</si>
  <si>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</si>
  <si>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</si>
  <si>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</si>
  <si>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</si>
  <si>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</si>
  <si>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</si>
  <si>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</si>
  <si>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</si>
  <si>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</si>
  <si>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</si>
  <si>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</si>
  <si>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</si>
  <si>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</si>
  <si>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</si>
  <si>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</si>
  <si>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</si>
  <si>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</si>
  <si>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</si>
  <si>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</si>
  <si>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</si>
  <si>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</si>
  <si>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</si>
  <si>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</si>
  <si>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</si>
  <si>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</si>
  <si>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</si>
  <si>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</si>
  <si>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</si>
  <si>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</si>
  <si>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</si>
  <si>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</si>
  <si>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</si>
  <si>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</si>
  <si>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</si>
  <si>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</si>
  <si>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</si>
  <si>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</si>
  <si>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</si>
  <si>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</si>
  <si>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</si>
  <si>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</si>
  <si>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</si>
  <si>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</si>
  <si>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</si>
  <si>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</si>
  <si>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</si>
  <si>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</si>
  <si>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</si>
  <si>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</si>
  <si>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</si>
  <si>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</si>
  <si>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</si>
  <si>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</si>
  <si>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</si>
  <si>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</si>
  <si>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</si>
  <si>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</si>
  <si>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</si>
  <si>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</si>
  <si>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</si>
  <si>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</si>
  <si>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</si>
  <si>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</si>
  <si>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</si>
  <si>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</si>
  <si>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</si>
  <si>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</si>
  <si>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</si>
  <si>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</si>
  <si>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</si>
  <si>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</si>
  <si>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</si>
  <si>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</si>
  <si>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</si>
  <si>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</si>
  <si>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</si>
  <si>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</si>
  <si>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</si>
  <si>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</si>
  <si>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</si>
  <si>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</si>
  <si>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</si>
  <si>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</si>
  <si>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</si>
  <si>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</si>
  <si>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</si>
  <si>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</si>
  <si>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</si>
  <si>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</si>
  <si>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</si>
  <si>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</si>
  <si>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</si>
  <si>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</si>
  <si>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</si>
  <si>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</si>
  <si>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</si>
  <si>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</si>
  <si>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</si>
  <si>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</si>
  <si>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</si>
  <si>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</si>
  <si>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</si>
  <si>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</si>
  <si>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</si>
  <si>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</si>
  <si>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</si>
  <si>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</si>
  <si>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</si>
  <si>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</si>
  <si>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</si>
  <si>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</si>
  <si>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</si>
  <si>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</si>
  <si>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</si>
  <si>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</si>
  <si>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</si>
  <si>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</si>
  <si>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</si>
  <si>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</si>
  <si>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</si>
  <si>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</si>
  <si>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</si>
  <si>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</si>
  <si>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</si>
  <si>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</si>
  <si>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</si>
  <si>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</si>
  <si>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</si>
  <si>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</si>
  <si>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</si>
  <si>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</si>
  <si>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</si>
  <si>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</si>
  <si>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</si>
  <si>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</si>
  <si>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</si>
  <si>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</si>
  <si>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</si>
  <si>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</si>
  <si>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</si>
  <si>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</si>
  <si>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</si>
  <si>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</si>
  <si>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</si>
  <si>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</si>
  <si>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</si>
  <si>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</si>
  <si>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</si>
  <si>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</si>
  <si>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</si>
  <si>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</si>
  <si>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</si>
  <si>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</si>
  <si>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</si>
  <si>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</si>
  <si>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</si>
  <si>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</si>
  <si>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</si>
  <si>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</si>
  <si>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</si>
  <si>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</si>
  <si>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</si>
  <si>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</si>
  <si>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</si>
  <si>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</si>
  <si>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</si>
  <si>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</si>
  <si>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</si>
  <si>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</si>
  <si>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</si>
  <si>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</si>
  <si>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</si>
  <si>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</si>
  <si>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</si>
  <si>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</si>
  <si>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</si>
  <si>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</si>
  <si>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</si>
  <si>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</si>
  <si>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</si>
  <si>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</si>
  <si>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</si>
  <si>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</si>
  <si>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</si>
  <si>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</si>
  <si>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</si>
  <si>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</si>
  <si>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</si>
  <si>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</si>
  <si>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</si>
  <si>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</si>
  <si>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</si>
  <si>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</si>
  <si>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</si>
  <si>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</si>
  <si>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</si>
  <si>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</si>
  <si>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</si>
  <si>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</si>
  <si>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</si>
  <si>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</si>
  <si>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</si>
  <si>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</si>
  <si>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</si>
  <si>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</si>
  <si>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</si>
  <si>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</si>
  <si>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</si>
  <si>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</si>
  <si>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</si>
  <si>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</si>
  <si>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</si>
  <si>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</si>
  <si>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</si>
  <si>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</si>
  <si>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</si>
  <si>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</si>
  <si>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</si>
  <si>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</si>
  <si>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</si>
  <si>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</si>
  <si>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</si>
  <si>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</si>
  <si>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</si>
  <si>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</si>
  <si>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</si>
  <si>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</si>
  <si>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</si>
  <si>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</si>
  <si>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</si>
  <si>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</si>
  <si>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</si>
  <si>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</si>
  <si>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</si>
  <si>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</si>
  <si>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</si>
  <si>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</si>
  <si>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</si>
  <si>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</si>
  <si>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</si>
  <si>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</si>
  <si>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</si>
  <si>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</si>
  <si>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</si>
  <si>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</si>
  <si>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</si>
  <si>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</si>
  <si>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</si>
  <si>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</si>
  <si>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</si>
  <si>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</si>
  <si>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</si>
  <si>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</si>
  <si>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</si>
  <si>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</si>
  <si>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</si>
  <si>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</si>
  <si>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</si>
  <si>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</si>
  <si>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</si>
  <si>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</si>
  <si>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</si>
  <si>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</si>
  <si>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</si>
  <si>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</si>
  <si>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</si>
  <si>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</si>
  <si>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</si>
  <si>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</si>
  <si>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</si>
  <si>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</si>
  <si>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</si>
  <si>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</si>
  <si>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</si>
  <si>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</si>
  <si>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</si>
  <si>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</si>
  <si>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</si>
  <si>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</si>
  <si>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</si>
  <si>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</si>
  <si>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</si>
  <si>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</si>
  <si>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</si>
  <si>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</si>
  <si>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</si>
  <si>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</si>
  <si>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</si>
  <si>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</si>
  <si>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</si>
  <si>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</si>
  <si>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</si>
  <si>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</si>
  <si>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</si>
  <si>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</si>
  <si>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</si>
  <si>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</si>
  <si>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</si>
  <si>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</si>
  <si>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</si>
  <si>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</si>
  <si>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</si>
  <si>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</si>
  <si>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</si>
  <si>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</si>
  <si>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</si>
  <si>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</si>
  <si>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</si>
  <si>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</si>
  <si>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</si>
  <si>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</si>
  <si>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</si>
  <si>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</si>
  <si>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</si>
  <si>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</si>
  <si>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</si>
  <si>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</si>
  <si>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</si>
  <si>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</si>
  <si>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</si>
  <si>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</si>
  <si>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</si>
  <si>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</si>
  <si>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</si>
  <si>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</si>
  <si>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</si>
  <si>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</si>
  <si>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</si>
  <si>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</si>
  <si>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</si>
  <si>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</si>
  <si>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</si>
  <si>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</si>
  <si>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</si>
  <si>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</si>
  <si>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</si>
  <si>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</si>
  <si>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</si>
  <si>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</si>
  <si>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</si>
  <si>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</si>
  <si>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</si>
  <si>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</si>
  <si>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</si>
  <si>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</si>
  <si>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</si>
  <si>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</si>
  <si>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</si>
  <si>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</si>
  <si>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</si>
  <si>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</si>
  <si>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</si>
  <si>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</si>
  <si>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</si>
  <si>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</si>
  <si>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</si>
  <si>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</si>
  <si>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</si>
  <si>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</si>
  <si>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</si>
  <si>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</si>
  <si>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</si>
  <si>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</si>
  <si>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</si>
  <si>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</si>
  <si>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</si>
  <si>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</si>
  <si>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</si>
  <si>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</si>
  <si>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</si>
  <si>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</si>
  <si>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</si>
  <si>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</si>
  <si>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</si>
  <si>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</si>
  <si>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</si>
  <si>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</si>
  <si>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</si>
  <si>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</si>
  <si>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</si>
  <si>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</si>
  <si>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</si>
  <si>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</si>
  <si>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</si>
  <si>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</si>
  <si>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</si>
  <si>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</si>
  <si>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</si>
  <si>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</si>
  <si>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</si>
  <si>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</si>
  <si>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</si>
  <si>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</si>
  <si>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</si>
  <si>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</si>
  <si>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</si>
  <si>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</si>
  <si>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</si>
  <si>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</si>
  <si>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</si>
  <si>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</si>
  <si>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</si>
  <si>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</si>
  <si>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</si>
  <si>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</si>
  <si>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</si>
  <si>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</si>
  <si>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</si>
  <si>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</si>
  <si>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</si>
  <si>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</si>
  <si>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</si>
  <si>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</si>
  <si>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</si>
  <si>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</si>
  <si>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</si>
  <si>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</si>
  <si>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</si>
  <si>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</si>
  <si>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</si>
  <si>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</si>
  <si>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</si>
  <si>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</si>
  <si>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</si>
  <si>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</si>
  <si>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</si>
  <si>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</si>
  <si>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</si>
  <si>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</si>
  <si>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</si>
  <si>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</si>
  <si>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</si>
  <si>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</si>
  <si>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</si>
  <si>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</si>
  <si>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</si>
  <si>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</si>
  <si>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</si>
  <si>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</si>
  <si>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</si>
  <si>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</si>
  <si>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</si>
  <si>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</si>
  <si>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</si>
  <si>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</si>
  <si>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</si>
  <si>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</si>
  <si>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</si>
  <si>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</si>
  <si>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</si>
  <si>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</si>
  <si>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</si>
  <si>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</si>
  <si>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</si>
  <si>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</si>
  <si>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</si>
  <si>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</si>
  <si>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</si>
  <si>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</si>
  <si>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</si>
  <si>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</si>
  <si>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</si>
  <si>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</si>
  <si>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</si>
  <si>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</si>
  <si>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</si>
  <si>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</si>
  <si>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</si>
  <si>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</si>
  <si>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</si>
  <si>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</si>
  <si>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</si>
  <si>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</si>
  <si>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</si>
  <si>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</si>
  <si>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</si>
  <si>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</si>
  <si>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</si>
  <si>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</si>
  <si>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</si>
  <si>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</si>
  <si>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</si>
  <si>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</si>
  <si>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</si>
  <si>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</si>
  <si>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</si>
  <si>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</si>
  <si>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</si>
  <si>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</si>
  <si>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</si>
  <si>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</si>
  <si>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</si>
  <si>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</si>
  <si>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</si>
  <si>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</si>
  <si>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</si>
  <si>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</si>
  <si>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</si>
  <si>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</si>
  <si>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</si>
  <si>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</si>
  <si>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</si>
  <si>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</si>
  <si>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</si>
  <si>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</si>
  <si>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</si>
  <si>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</si>
  <si>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</si>
  <si>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</si>
  <si>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</si>
  <si>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</si>
  <si>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</si>
  <si>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</si>
  <si>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</si>
  <si>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</si>
  <si>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</si>
  <si>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</si>
  <si>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</si>
  <si>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</si>
  <si>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</si>
  <si>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</si>
  <si>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</si>
  <si>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</si>
  <si>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</si>
  <si>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</si>
  <si>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</si>
  <si>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</si>
  <si>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</si>
  <si>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</si>
  <si>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</si>
  <si>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</si>
  <si>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</si>
  <si>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</si>
  <si>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</si>
  <si>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</si>
  <si>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</si>
  <si>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</si>
  <si>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</si>
  <si>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</si>
  <si>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</si>
  <si>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</si>
  <si>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</si>
  <si>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</si>
  <si>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</si>
  <si>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</si>
  <si>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</si>
  <si>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</si>
  <si>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</si>
  <si>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</si>
  <si>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</si>
  <si>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</si>
  <si>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</si>
  <si>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</si>
  <si>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</si>
  <si>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</si>
  <si>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</si>
  <si>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</si>
  <si>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</si>
  <si>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</si>
  <si>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</si>
  <si>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</si>
  <si>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</si>
  <si>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</si>
  <si>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</si>
  <si>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</si>
  <si>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</si>
  <si>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</si>
  <si>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</si>
  <si>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</si>
  <si>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</si>
  <si>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</si>
  <si>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</si>
  <si>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</si>
  <si>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</si>
  <si>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</si>
  <si>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</si>
  <si>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</si>
  <si>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</si>
  <si>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</si>
  <si>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</si>
  <si>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</si>
  <si>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</si>
  <si>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</si>
  <si>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</si>
  <si>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</si>
  <si>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</si>
  <si>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</si>
  <si>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</si>
  <si>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</si>
  <si>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</si>
  <si>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</si>
  <si>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</si>
  <si>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</si>
  <si>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</si>
  <si>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</si>
  <si>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</si>
  <si>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</si>
  <si>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</si>
  <si>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</si>
  <si>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</si>
  <si>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</si>
  <si>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</si>
  <si>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</si>
  <si>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</si>
  <si>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</si>
  <si>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</si>
  <si>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</si>
  <si>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</si>
  <si>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</si>
  <si>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</si>
  <si>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</si>
  <si>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</si>
  <si>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</si>
  <si>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</si>
  <si>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</si>
  <si>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</si>
  <si>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</si>
  <si>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</si>
  <si>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</si>
  <si>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</si>
  <si>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</si>
  <si>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</si>
  <si>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</si>
  <si>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</si>
  <si>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</si>
  <si>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</si>
  <si>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</si>
  <si>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</si>
  <si>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</si>
  <si>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</si>
  <si>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</si>
  <si>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</si>
  <si>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</si>
  <si>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</si>
  <si>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</si>
  <si>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</si>
  <si>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</si>
  <si>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</si>
  <si>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</si>
  <si>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</si>
  <si>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</si>
  <si>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</si>
  <si>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</si>
  <si>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</si>
  <si>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</si>
  <si>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</si>
  <si>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</si>
  <si>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</si>
  <si>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</si>
  <si>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</si>
  <si>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</si>
  <si>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</si>
  <si>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</si>
  <si>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</si>
  <si>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</si>
  <si>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</si>
  <si>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</si>
  <si>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</si>
  <si>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</si>
  <si>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</si>
  <si>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</si>
  <si>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</si>
  <si>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</si>
  <si>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</si>
  <si>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</si>
  <si>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</si>
  <si>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</si>
  <si>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</si>
  <si>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</si>
  <si>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</si>
  <si>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</si>
  <si>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</si>
  <si>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</si>
  <si>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</si>
  <si>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</si>
  <si>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</si>
  <si>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</si>
  <si>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</si>
  <si>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</si>
  <si>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</si>
  <si>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</si>
  <si>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</si>
  <si>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</si>
  <si>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</si>
  <si>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</si>
  <si>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</si>
  <si>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</si>
  <si>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</si>
  <si>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</si>
  <si>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</si>
  <si>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</si>
  <si>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</si>
  <si>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</si>
  <si>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</si>
  <si>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</si>
  <si>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</si>
  <si>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</si>
  <si>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</si>
  <si>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</si>
  <si>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</si>
  <si>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</si>
  <si>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</si>
  <si>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</si>
  <si>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</si>
  <si>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</si>
  <si>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</si>
  <si>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</si>
  <si>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</si>
  <si>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</si>
  <si>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</si>
  <si>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</si>
  <si>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</si>
  <si>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</si>
  <si>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</si>
  <si>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</si>
  <si>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</si>
  <si>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</si>
  <si>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</si>
  <si>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</si>
  <si>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</si>
  <si>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</si>
  <si>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</si>
  <si>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</si>
  <si>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</si>
  <si>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</si>
  <si>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</si>
  <si>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</si>
  <si>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</si>
  <si>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</si>
  <si>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</si>
  <si>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</si>
  <si>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</si>
  <si>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</si>
  <si>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</si>
  <si>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</si>
  <si>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</si>
  <si>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</si>
  <si>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</si>
  <si>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</si>
  <si>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</si>
  <si>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</si>
  <si>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</si>
  <si>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</si>
  <si>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</si>
  <si>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</si>
  <si>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</si>
  <si>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</si>
  <si>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</si>
  <si>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</si>
  <si>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</si>
  <si>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</si>
  <si>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</si>
  <si>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</si>
  <si>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</si>
  <si>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</si>
  <si>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</si>
  <si>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</si>
  <si>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</si>
  <si>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</si>
  <si>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</si>
  <si>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</si>
  <si>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</si>
  <si>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</si>
  <si>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</si>
  <si>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</si>
  <si>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</si>
  <si>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</si>
  <si>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</si>
  <si>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</si>
  <si>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</si>
  <si>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</si>
  <si>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</si>
  <si>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</si>
  <si>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</si>
  <si>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</si>
  <si>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</si>
  <si>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</si>
  <si>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</si>
  <si>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</si>
  <si>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</si>
  <si>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</si>
  <si>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</si>
  <si>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</si>
  <si>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</si>
  <si>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</si>
  <si>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</si>
  <si>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</si>
  <si>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</si>
  <si>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</si>
  <si>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</si>
  <si>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</si>
  <si>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</si>
  <si>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</si>
  <si>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</si>
  <si>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</si>
  <si>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</si>
  <si>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</si>
  <si>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</si>
  <si>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</si>
  <si>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</si>
  <si>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</si>
  <si>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</si>
  <si>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</si>
  <si>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</si>
  <si>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</si>
  <si>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</si>
  <si>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</si>
  <si>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</si>
  <si>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</si>
  <si>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</si>
  <si>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</si>
  <si>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</si>
  <si>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</si>
  <si>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</si>
  <si>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</si>
  <si>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</si>
  <si>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</si>
  <si>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</si>
  <si>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</si>
  <si>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</si>
  <si>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</si>
  <si>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</si>
  <si>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</si>
  <si>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</si>
  <si>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</si>
  <si>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</si>
  <si>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</si>
  <si>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</si>
  <si>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</si>
  <si>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</si>
  <si>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</si>
  <si>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</si>
  <si>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</si>
  <si>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</si>
  <si>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</si>
  <si>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</si>
  <si>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</si>
  <si>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</si>
  <si>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</si>
  <si>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</si>
  <si>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</si>
  <si>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</si>
  <si>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</si>
  <si>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</si>
  <si>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</si>
  <si>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</si>
  <si>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</si>
  <si>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</si>
  <si>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</si>
  <si>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</si>
  <si>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</si>
  <si>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</si>
  <si>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</si>
  <si>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</si>
  <si>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</si>
  <si>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</si>
  <si>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</si>
  <si>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</si>
  <si>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</si>
  <si>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</si>
  <si>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</si>
  <si>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</si>
  <si>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</si>
  <si>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</si>
  <si>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</si>
  <si>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</si>
  <si>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</si>
  <si>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</si>
  <si>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</si>
  <si>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</si>
  <si>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</si>
  <si>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</si>
  <si>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</si>
  <si>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</si>
  <si>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</si>
  <si>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</si>
  <si>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</si>
  <si>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</si>
  <si>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</si>
  <si>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</si>
  <si>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</si>
  <si>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</si>
  <si>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</si>
  <si>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</si>
  <si>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</si>
  <si>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</si>
  <si>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</si>
  <si>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</si>
  <si>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</si>
  <si>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</si>
  <si>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</si>
  <si>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</si>
  <si>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</si>
  <si>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</si>
  <si>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</si>
  <si>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</si>
  <si>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</si>
  <si>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</si>
  <si>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</si>
  <si>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</si>
  <si>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</si>
  <si>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</si>
  <si>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</si>
  <si>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</si>
  <si>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</si>
  <si>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</si>
  <si>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</si>
  <si>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</si>
  <si>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</si>
  <si>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</si>
  <si>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</si>
  <si>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</si>
  <si>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</si>
  <si>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</si>
  <si>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</si>
  <si>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</si>
  <si>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</si>
  <si>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</si>
  <si>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</si>
  <si>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</si>
  <si>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</si>
  <si>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</si>
  <si>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</si>
  <si>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</si>
  <si>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</si>
  <si>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</si>
  <si>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</si>
  <si>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</si>
  <si>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</si>
  <si>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</si>
  <si>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</si>
  <si>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</si>
  <si>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</si>
  <si>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</si>
  <si>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</si>
  <si>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</si>
  <si>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</si>
  <si>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</si>
  <si>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</si>
  <si>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</si>
  <si>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</si>
  <si>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</si>
  <si>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</si>
  <si>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</si>
  <si>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</si>
  <si>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</si>
  <si>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</si>
  <si>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</si>
  <si>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</si>
  <si>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</si>
  <si>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</si>
  <si>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</si>
  <si>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</si>
  <si>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</si>
  <si>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</si>
  <si>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</si>
  <si>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</si>
  <si>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</si>
  <si>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</si>
  <si>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</si>
  <si>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</si>
  <si>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</si>
  <si>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</si>
  <si>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</si>
  <si>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</si>
  <si>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</si>
  <si>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</si>
  <si>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</si>
  <si>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</si>
  <si>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</si>
  <si>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</si>
  <si>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</si>
  <si>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</si>
  <si>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</si>
  <si>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</si>
  <si>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</si>
  <si>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</si>
  <si>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</si>
  <si>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</si>
  <si>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</si>
  <si>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</si>
  <si>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</si>
  <si>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</si>
  <si>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</si>
  <si>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</si>
  <si>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</si>
  <si>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</si>
  <si>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</si>
  <si>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</si>
  <si>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</si>
  <si>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</si>
  <si>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</si>
  <si>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</si>
  <si>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</si>
  <si>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</si>
  <si>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</si>
  <si>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</si>
  <si>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</si>
  <si>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</si>
  <si>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</si>
  <si>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</si>
  <si>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</si>
  <si>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</si>
  <si>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</si>
  <si>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</si>
  <si>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</si>
  <si>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</si>
  <si>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</si>
  <si>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</si>
  <si>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</si>
  <si>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</si>
  <si>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</si>
  <si>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</si>
  <si>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</si>
  <si>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</si>
  <si>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</si>
  <si>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</si>
  <si>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</si>
  <si>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</si>
  <si>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</si>
  <si>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</si>
  <si>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</si>
  <si>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</si>
  <si>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</si>
  <si>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</si>
  <si>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</si>
  <si>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</si>
  <si>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</si>
  <si>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</si>
  <si>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</si>
  <si>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</si>
  <si>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</si>
  <si>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</si>
  <si>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</si>
  <si>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</si>
  <si>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</si>
  <si>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</si>
  <si>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</si>
  <si>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</si>
  <si>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</si>
  <si>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</si>
  <si>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</si>
  <si>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</si>
  <si>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</si>
  <si>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</si>
  <si>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</si>
  <si>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</si>
  <si>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</si>
  <si>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</si>
  <si>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</si>
  <si>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</si>
  <si>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</si>
  <si>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</si>
  <si>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</si>
  <si>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</si>
  <si>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</si>
  <si>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</si>
  <si>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</si>
  <si>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</si>
  <si>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</si>
  <si>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</si>
  <si>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</si>
  <si>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</si>
  <si>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</si>
  <si>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</si>
  <si>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</si>
  <si>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</si>
  <si>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</si>
  <si>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</si>
  <si>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</si>
  <si>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</si>
  <si>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</si>
  <si>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</si>
  <si>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</si>
  <si>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</si>
  <si>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</si>
  <si>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</si>
  <si>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</si>
  <si>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</si>
  <si>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</si>
  <si>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</si>
  <si>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</si>
  <si>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</si>
  <si>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</si>
  <si>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</si>
  <si>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</si>
  <si>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</si>
  <si>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</si>
  <si>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</si>
  <si>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</si>
  <si>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</si>
  <si>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</si>
  <si>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</si>
  <si>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</si>
  <si>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</si>
  <si>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</si>
  <si>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</si>
  <si>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</si>
  <si>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</si>
  <si>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</si>
  <si>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</si>
  <si>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</si>
  <si>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</si>
  <si>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</si>
  <si>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</si>
  <si>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</si>
  <si>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</si>
  <si>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</si>
  <si>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</si>
  <si>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</si>
  <si>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</si>
  <si>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</si>
  <si>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</si>
  <si>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</si>
  <si>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</si>
  <si>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</si>
  <si>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</si>
  <si>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</si>
  <si>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</si>
  <si>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</si>
  <si>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</si>
  <si>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</si>
  <si>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</si>
  <si>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</si>
  <si>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</si>
  <si>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</si>
  <si>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</si>
  <si>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</si>
  <si>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</si>
  <si>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</si>
  <si>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</si>
  <si>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</si>
  <si>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</si>
  <si>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</si>
  <si>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</si>
  <si>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</si>
  <si>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</si>
  <si>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</si>
  <si>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</si>
  <si>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</si>
  <si>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</si>
  <si>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</si>
  <si>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</si>
  <si>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</si>
  <si>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</si>
  <si>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</si>
  <si>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</si>
  <si>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</si>
  <si>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</si>
  <si>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</si>
  <si>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</si>
  <si>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</si>
  <si>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</si>
  <si>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</si>
  <si>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</si>
  <si>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</si>
  <si>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</si>
  <si>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</si>
  <si>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</si>
  <si>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</si>
  <si>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</si>
  <si>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</si>
  <si>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</si>
  <si>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</si>
  <si>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</si>
  <si>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</si>
  <si>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</si>
  <si>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</si>
  <si>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</si>
  <si>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</si>
  <si>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</si>
  <si>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</si>
  <si>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</si>
  <si>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</si>
  <si>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</si>
  <si>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</si>
  <si>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</si>
  <si>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</si>
  <si>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</si>
  <si>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</si>
  <si>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</si>
  <si>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</si>
  <si>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</si>
  <si>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</si>
  <si>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</si>
  <si>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</si>
  <si>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</si>
  <si>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</si>
  <si>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</si>
  <si>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</si>
  <si>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</si>
  <si>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</si>
  <si>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</si>
  <si>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</si>
  <si>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</si>
  <si>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</si>
  <si>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</si>
  <si>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</si>
  <si>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</si>
  <si>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</si>
  <si>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</si>
  <si>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</si>
  <si>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</si>
  <si>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</si>
  <si>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</si>
  <si>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</si>
  <si>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</si>
  <si>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</si>
  <si>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</si>
  <si>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</si>
  <si>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</si>
  <si>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</si>
  <si>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</si>
  <si>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</si>
  <si>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</si>
  <si>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</si>
  <si>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</si>
  <si>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</si>
  <si>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</si>
  <si>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</si>
  <si>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</si>
  <si>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</si>
  <si>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</si>
  <si>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</si>
  <si>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</si>
  <si>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</si>
  <si>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</si>
  <si>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</si>
  <si>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</si>
  <si>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</si>
  <si>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</si>
  <si>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</si>
  <si>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</si>
  <si>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</si>
  <si>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</si>
  <si>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</si>
  <si>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</si>
  <si>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</si>
  <si>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</si>
  <si>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</si>
  <si>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</si>
  <si>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</si>
  <si>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</si>
  <si>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</si>
  <si>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</si>
  <si>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</si>
  <si>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</si>
  <si>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</si>
  <si>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</si>
  <si>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</si>
  <si>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</si>
  <si>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</si>
  <si>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</si>
  <si>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</si>
  <si>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</si>
  <si>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</si>
  <si>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</si>
  <si>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</si>
  <si>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</si>
  <si>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</si>
  <si>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</si>
  <si>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</si>
  <si>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</si>
  <si>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</si>
  <si>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</si>
  <si>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</si>
  <si>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</si>
  <si>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</si>
  <si>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</si>
  <si>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</si>
  <si>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</si>
  <si>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</si>
  <si>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</si>
  <si>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</si>
  <si>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</si>
  <si>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</si>
  <si>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</si>
  <si>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</si>
  <si>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</si>
  <si>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</si>
  <si>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</si>
  <si>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</si>
  <si>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</si>
  <si>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</si>
  <si>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</si>
  <si>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</si>
  <si>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</si>
  <si>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</si>
  <si>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</si>
  <si>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</si>
  <si>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</si>
  <si>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</si>
  <si>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</si>
  <si>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</si>
  <si>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</si>
  <si>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</si>
  <si>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</si>
  <si>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</si>
  <si>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</si>
  <si>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</si>
  <si>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</si>
  <si>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</si>
  <si>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</si>
  <si>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</si>
  <si>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</si>
  <si>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</si>
  <si>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</si>
  <si>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</si>
  <si>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</si>
  <si>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</si>
  <si>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</si>
  <si>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</si>
  <si>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</si>
  <si>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</si>
  <si>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</si>
  <si>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</si>
  <si>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</si>
  <si>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</si>
  <si>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</si>
  <si>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</si>
  <si>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</si>
  <si>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</si>
  <si>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</si>
  <si>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</si>
  <si>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</si>
  <si>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</si>
  <si>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</si>
  <si>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</si>
  <si>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</si>
  <si>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</si>
  <si>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</si>
  <si>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</si>
  <si>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</si>
  <si>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</si>
  <si>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</si>
  <si>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</si>
  <si>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</si>
  <si>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</si>
  <si>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</si>
  <si>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</si>
  <si>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</si>
  <si>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</si>
  <si>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</si>
  <si>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</si>
  <si>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</si>
  <si>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</si>
  <si>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</si>
  <si>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</si>
  <si>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</si>
  <si>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</si>
  <si>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</si>
  <si>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</si>
  <si>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</si>
  <si>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</si>
  <si>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</si>
  <si>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</si>
  <si>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</si>
  <si>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</si>
  <si>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</si>
  <si>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</si>
  <si>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</si>
  <si>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</si>
  <si>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</si>
  <si>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</si>
  <si>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</si>
  <si>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</si>
  <si>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</si>
  <si>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</si>
  <si>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</si>
  <si>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</si>
  <si>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</si>
  <si>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</si>
  <si>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</si>
  <si>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</si>
  <si>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</si>
  <si>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</si>
  <si>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</si>
  <si>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</si>
  <si>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</si>
  <si>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</si>
  <si>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</si>
  <si>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</si>
  <si>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</si>
  <si>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</si>
  <si>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</si>
  <si>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</si>
  <si>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</si>
  <si>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</si>
  <si>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</si>
  <si>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</si>
  <si>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</si>
  <si>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</si>
  <si>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</si>
  <si>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</si>
  <si>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</si>
  <si>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</si>
  <si>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</si>
  <si>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</si>
  <si>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</si>
  <si>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</si>
  <si>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</si>
  <si>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</si>
  <si>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</si>
  <si>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</si>
  <si>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</si>
  <si>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</si>
  <si>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</si>
  <si>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</si>
  <si>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</si>
  <si>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</si>
  <si>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</si>
  <si>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</si>
  <si>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</si>
  <si>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</si>
  <si>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</si>
  <si>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</si>
  <si>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</si>
  <si>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</si>
  <si>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</si>
  <si>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</si>
  <si>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</si>
  <si>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</si>
  <si>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</si>
  <si>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</si>
  <si>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</si>
  <si>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</si>
  <si>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</si>
  <si>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</si>
  <si>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</si>
  <si>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</si>
  <si>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</si>
  <si>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</si>
  <si>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</si>
  <si>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</si>
  <si>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</si>
  <si>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</si>
  <si>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</si>
  <si>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</si>
  <si>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</si>
  <si>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</si>
  <si>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</si>
  <si>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</si>
  <si>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</si>
  <si>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</si>
  <si>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</si>
  <si>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</si>
  <si>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</si>
  <si>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</si>
  <si>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</si>
  <si>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</si>
  <si>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</si>
  <si>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</si>
  <si>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</si>
  <si>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</si>
  <si>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</si>
  <si>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</si>
  <si>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</si>
  <si>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</si>
  <si>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</si>
  <si>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</si>
  <si>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</si>
  <si>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</si>
  <si>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</si>
  <si>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</si>
  <si>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</si>
  <si>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</si>
  <si>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</si>
  <si>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</si>
  <si>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</si>
  <si>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</si>
  <si>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</si>
  <si>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</si>
  <si>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</si>
  <si>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</si>
  <si>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</si>
  <si>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</si>
  <si>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</si>
  <si>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</si>
  <si>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</si>
  <si>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</si>
  <si>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</si>
  <si>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</si>
  <si>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</si>
  <si>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</si>
  <si>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</si>
  <si>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</si>
  <si>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</si>
  <si>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</si>
  <si>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</si>
  <si>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</si>
  <si>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</si>
  <si>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</si>
  <si>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</si>
  <si>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</si>
  <si>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</si>
  <si>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</si>
  <si>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</si>
  <si>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</si>
  <si>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</si>
  <si>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</si>
  <si>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</si>
  <si>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</si>
  <si>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</si>
  <si>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</si>
  <si>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</si>
  <si>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</si>
  <si>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</si>
  <si>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</si>
  <si>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</si>
  <si>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</si>
  <si>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</si>
  <si>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</si>
  <si>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</si>
  <si>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</si>
  <si>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</si>
  <si>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</si>
  <si>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</si>
  <si>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</si>
  <si>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</si>
  <si>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</si>
  <si>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</si>
  <si>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</si>
  <si>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</si>
  <si>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</si>
  <si>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</si>
  <si>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</si>
  <si>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</si>
  <si>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</si>
  <si>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</si>
  <si>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</si>
  <si>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</si>
  <si>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</si>
  <si>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</si>
  <si>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</si>
  <si>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</si>
  <si>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</si>
  <si>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</si>
  <si>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</si>
  <si>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</si>
  <si>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</si>
  <si>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</si>
  <si>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</si>
  <si>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</si>
  <si>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</si>
  <si>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</si>
  <si>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</si>
  <si>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</si>
  <si>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</si>
  <si>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</si>
  <si>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</si>
  <si>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</si>
  <si>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</si>
  <si>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</si>
  <si>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</si>
  <si>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</si>
  <si>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</si>
  <si>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</si>
  <si>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</si>
  <si>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</si>
  <si>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</si>
  <si>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</si>
  <si>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</si>
  <si>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</si>
  <si>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</si>
  <si>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</si>
  <si>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</si>
  <si>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</si>
  <si>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</si>
  <si>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</si>
  <si>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</si>
  <si>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</si>
  <si>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</si>
  <si>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</si>
  <si>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</si>
  <si>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</si>
  <si>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</si>
  <si>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</si>
  <si>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</si>
  <si>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</si>
  <si>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</si>
  <si>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</si>
  <si>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</si>
  <si>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</si>
  <si>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</si>
  <si>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</si>
  <si>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</si>
  <si>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</si>
  <si>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</si>
  <si>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</si>
  <si>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</si>
  <si>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</si>
  <si>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</si>
  <si>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</si>
  <si>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</si>
  <si>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</si>
  <si>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</si>
  <si>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</si>
  <si>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</si>
  <si>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</si>
  <si>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</si>
  <si>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</si>
  <si>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</si>
  <si>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</si>
  <si>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</si>
  <si>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</si>
  <si>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</si>
  <si>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</si>
  <si>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</si>
  <si>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</si>
  <si>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</si>
  <si>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</si>
  <si>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</si>
  <si>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</si>
  <si>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</si>
  <si>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</si>
  <si>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</si>
  <si>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</si>
  <si>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</si>
  <si>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</si>
  <si>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</si>
  <si>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</si>
  <si>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</si>
  <si>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</si>
  <si>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</si>
  <si>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</si>
  <si>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</si>
  <si>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</si>
  <si>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</si>
  <si>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</si>
  <si>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</si>
  <si>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</si>
  <si>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</si>
  <si>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</si>
  <si>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</si>
  <si>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</si>
  <si>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</si>
  <si>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</si>
  <si>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</si>
  <si>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</si>
  <si>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</si>
  <si>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</si>
  <si>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</si>
  <si>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</si>
  <si>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</si>
  <si>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</si>
  <si>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</si>
  <si>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</si>
  <si>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</si>
  <si>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</si>
  <si>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</si>
  <si>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</si>
  <si>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</si>
  <si>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</si>
  <si>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</si>
  <si>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</si>
  <si>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</si>
  <si>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</si>
  <si>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</si>
  <si>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</si>
  <si>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</si>
  <si>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</si>
  <si>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</si>
  <si>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</si>
  <si>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</si>
  <si>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</si>
  <si>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</si>
  <si>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</si>
  <si>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</si>
  <si>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</si>
  <si>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</si>
  <si>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</si>
  <si>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</si>
  <si>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</si>
  <si>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</si>
  <si>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</si>
  <si>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</si>
  <si>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</si>
  <si>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</si>
  <si>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</si>
  <si>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</si>
  <si>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</si>
  <si>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</si>
  <si>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</si>
  <si>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</si>
  <si>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</si>
  <si>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</si>
  <si>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</si>
  <si>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</si>
  <si>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</si>
  <si>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</si>
  <si>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</si>
  <si>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</si>
  <si>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</si>
  <si>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</si>
  <si>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</si>
  <si>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</si>
  <si>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</si>
  <si>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</si>
  <si>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</si>
  <si>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</si>
  <si>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</si>
  <si>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</si>
  <si>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</si>
  <si>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</si>
  <si>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</si>
  <si>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</si>
  <si>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</si>
  <si>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</si>
  <si>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</si>
  <si>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</si>
  <si>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</si>
  <si>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</si>
  <si>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</si>
  <si>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</si>
  <si>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</si>
  <si>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</si>
  <si>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</si>
  <si>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</si>
  <si>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</si>
  <si>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</si>
  <si>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</si>
  <si>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</si>
  <si>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</si>
  <si>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</si>
  <si>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</si>
  <si>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</si>
  <si>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</si>
  <si>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</si>
  <si>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</si>
  <si>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</si>
  <si>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</si>
  <si>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</si>
  <si>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</si>
  <si>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</si>
  <si>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</si>
  <si>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</si>
  <si>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</si>
  <si>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</si>
  <si>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</si>
  <si>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</si>
  <si>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</si>
  <si>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</si>
  <si>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</si>
  <si>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</si>
  <si>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</si>
  <si>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</si>
  <si>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</si>
  <si>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</si>
  <si>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</si>
  <si>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</si>
  <si>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</si>
  <si>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</si>
  <si>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</si>
  <si>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</si>
  <si>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</si>
  <si>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</si>
  <si>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</si>
  <si>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</si>
  <si>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</si>
  <si>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</si>
  <si>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</si>
  <si>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</si>
  <si>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</si>
  <si>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</si>
  <si>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</si>
  <si>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</si>
  <si>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</si>
  <si>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</si>
  <si>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</si>
  <si>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</si>
  <si>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</si>
  <si>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</si>
  <si>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</si>
  <si>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</si>
  <si>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</si>
  <si>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</si>
  <si>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</si>
  <si>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</si>
  <si>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</si>
  <si>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</si>
  <si>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</si>
  <si>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</si>
  <si>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</si>
  <si>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</si>
  <si>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</si>
  <si>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</si>
  <si>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</si>
  <si>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</si>
  <si>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</si>
  <si>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</si>
  <si>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</si>
  <si>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</si>
  <si>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</si>
  <si>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</si>
  <si>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</si>
  <si>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</si>
  <si>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</si>
  <si>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</si>
  <si>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</si>
  <si>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</si>
  <si>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</si>
  <si>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</si>
  <si>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</si>
  <si>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</si>
  <si>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</si>
  <si>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</si>
  <si>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</si>
  <si>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</si>
  <si>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</si>
  <si>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</si>
  <si>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</si>
  <si>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</si>
  <si>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</si>
  <si>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</si>
  <si>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</si>
  <si>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</si>
  <si>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</si>
  <si>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</si>
  <si>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</si>
  <si>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</si>
  <si>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</si>
  <si>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</si>
  <si>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</si>
  <si>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</si>
  <si>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</si>
  <si>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</si>
  <si>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</si>
  <si>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</si>
  <si>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</si>
  <si>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</si>
  <si>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</si>
  <si>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</si>
  <si>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</si>
  <si>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</si>
  <si>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</si>
  <si>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</si>
  <si>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</si>
  <si>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</si>
  <si>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</si>
  <si>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</si>
  <si>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</si>
  <si>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</si>
  <si>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</si>
  <si>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</si>
  <si>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</si>
  <si>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</si>
  <si>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</si>
  <si>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</si>
  <si>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</si>
  <si>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</si>
  <si>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</si>
  <si>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</si>
  <si>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</si>
  <si>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</si>
  <si>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</si>
  <si>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</si>
  <si>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</si>
  <si>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</si>
  <si>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</si>
  <si>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</si>
  <si>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</si>
  <si>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</si>
  <si>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</si>
  <si>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</si>
  <si>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</si>
  <si>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</si>
  <si>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</si>
  <si>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</si>
  <si>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</si>
  <si>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</si>
  <si>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</si>
  <si>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</si>
  <si>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</si>
  <si>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</si>
  <si>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</si>
  <si>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</si>
  <si>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</si>
  <si>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</si>
  <si>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</si>
  <si>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</si>
  <si>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</si>
  <si>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</si>
  <si>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</si>
  <si>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</si>
  <si>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</si>
  <si>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</si>
  <si>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</si>
  <si>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</si>
  <si>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</si>
  <si>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</si>
  <si>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</si>
  <si>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</si>
  <si>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</si>
  <si>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</si>
  <si>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</si>
  <si>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</si>
  <si>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</si>
  <si>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</si>
  <si>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</si>
  <si>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</si>
  <si>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</si>
  <si>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</si>
  <si>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</si>
  <si>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</si>
  <si>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</si>
  <si>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</si>
  <si>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</si>
  <si>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</si>
  <si>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</si>
  <si>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</si>
  <si>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</si>
  <si>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</si>
  <si>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</si>
  <si>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</si>
  <si>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</si>
  <si>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</si>
  <si>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</si>
  <si>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</si>
  <si>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</si>
  <si>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</si>
  <si>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</si>
  <si>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</si>
  <si>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</si>
  <si>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</si>
  <si>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</si>
  <si>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</si>
  <si>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</si>
  <si>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</si>
  <si>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</si>
  <si>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</si>
  <si>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</si>
  <si>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</si>
  <si>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</si>
  <si>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</si>
  <si>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</si>
  <si>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</si>
  <si>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</si>
  <si>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</si>
  <si>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</si>
  <si>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</si>
  <si>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</si>
  <si>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</si>
  <si>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</si>
  <si>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</si>
  <si>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</si>
  <si>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</si>
  <si>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</si>
  <si>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</si>
  <si>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</si>
  <si>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</si>
  <si>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</si>
  <si>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</si>
  <si>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</si>
  <si>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</si>
  <si>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</si>
  <si>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</si>
  <si>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</si>
  <si>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</si>
  <si>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</si>
  <si>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</si>
  <si>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</si>
  <si>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</si>
  <si>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</si>
  <si>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</si>
  <si>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</si>
  <si>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</si>
  <si>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</si>
  <si>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</si>
  <si>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</si>
  <si>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</si>
  <si>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</si>
  <si>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</si>
  <si>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</si>
  <si>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</si>
  <si>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</si>
  <si>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</si>
  <si>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</si>
  <si>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</si>
  <si>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</si>
  <si>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</si>
  <si>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</si>
  <si>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</si>
  <si>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</si>
  <si>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</si>
  <si>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</si>
  <si>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</si>
  <si>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</si>
  <si>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</si>
  <si>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</si>
  <si>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</si>
  <si>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</si>
  <si>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</si>
  <si>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</si>
  <si>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</si>
  <si>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</si>
  <si>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</si>
  <si>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</si>
  <si>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</si>
  <si>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</si>
  <si>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</si>
  <si>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</si>
  <si>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</si>
  <si>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</si>
  <si>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</si>
  <si>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</si>
  <si>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</si>
  <si>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</si>
  <si>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</si>
  <si>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</si>
  <si>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</si>
  <si>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</si>
  <si>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</si>
  <si>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</si>
  <si>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</si>
  <si>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</si>
  <si>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</si>
  <si>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</si>
  <si>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</si>
  <si>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</si>
  <si>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</si>
  <si>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</si>
  <si>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</si>
  <si>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</si>
  <si>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</si>
  <si>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</si>
  <si>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</si>
  <si>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</si>
  <si>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</si>
  <si>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</si>
  <si>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</si>
  <si>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</si>
  <si>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</si>
  <si>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</si>
  <si>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</si>
  <si>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</si>
  <si>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</si>
  <si>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</si>
  <si>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</si>
  <si>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</si>
  <si>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</si>
  <si>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</si>
  <si>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</si>
  <si>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</si>
  <si>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</si>
  <si>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</si>
  <si>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</si>
  <si>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</si>
  <si>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</si>
  <si>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</si>
  <si>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</si>
  <si>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</si>
  <si>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</si>
  <si>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</si>
  <si>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</si>
  <si>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</si>
  <si>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</si>
  <si>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</si>
  <si>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</si>
  <si>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</si>
  <si>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</si>
  <si>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</si>
  <si>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</si>
  <si>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</si>
  <si>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</si>
  <si>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</si>
  <si>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</si>
  <si>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</si>
  <si>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</si>
  <si>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</si>
  <si>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</si>
  <si>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</si>
  <si>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</si>
  <si>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</si>
  <si>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</si>
  <si>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</si>
  <si>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</si>
  <si>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</si>
  <si>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</si>
  <si>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</si>
  <si>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</si>
  <si>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</si>
  <si>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</si>
  <si>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</si>
  <si>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</si>
  <si>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</si>
  <si>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</si>
  <si>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</si>
  <si>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</si>
  <si>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</si>
  <si>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</si>
  <si>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</si>
  <si>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</si>
  <si>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</si>
  <si>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</si>
  <si>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</si>
  <si>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</si>
  <si>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</si>
  <si>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</si>
  <si>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</si>
  <si>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</si>
  <si>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</si>
  <si>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</si>
  <si>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</si>
  <si>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</si>
  <si>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</si>
  <si>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</si>
  <si>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</si>
  <si>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</si>
  <si>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</si>
  <si>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</si>
  <si>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</si>
  <si>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</si>
  <si>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</si>
  <si>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</si>
  <si>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</si>
  <si>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</si>
  <si>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</si>
  <si>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</si>
  <si>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</si>
  <si>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</si>
  <si>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</si>
  <si>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</si>
  <si>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</si>
  <si>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</si>
  <si>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</si>
  <si>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</si>
  <si>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</si>
  <si>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</si>
  <si>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</si>
  <si>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</si>
  <si>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</si>
  <si>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</si>
  <si>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</si>
  <si>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</si>
  <si>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</si>
  <si>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</si>
  <si>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</si>
  <si>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</si>
  <si>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</si>
  <si>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</si>
  <si>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</si>
  <si>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</si>
  <si>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</si>
  <si>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</si>
  <si>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</si>
  <si>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</si>
  <si>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</si>
  <si>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</si>
  <si>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</si>
  <si>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</si>
  <si>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</si>
  <si>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</si>
  <si>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</si>
  <si>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</si>
  <si>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</si>
  <si>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</si>
  <si>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</si>
  <si>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</si>
  <si>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</si>
  <si>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</si>
  <si>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</si>
  <si>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</si>
  <si>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</si>
  <si>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</si>
  <si>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</si>
  <si>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</si>
  <si>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</si>
  <si>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</si>
  <si>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</si>
  <si>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</si>
  <si>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</si>
  <si>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</si>
  <si>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</si>
  <si>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</si>
  <si>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</si>
  <si>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</si>
  <si>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</si>
  <si>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</si>
  <si>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</si>
  <si>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</si>
  <si>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</si>
  <si>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</si>
  <si>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</si>
  <si>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</si>
  <si>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</si>
  <si>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</si>
  <si>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</si>
  <si>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</si>
  <si>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</si>
  <si>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</si>
  <si>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</si>
  <si>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</si>
  <si>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</si>
  <si>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</si>
  <si>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</si>
  <si>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</si>
  <si>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</si>
  <si>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</si>
  <si>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</si>
  <si>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</si>
  <si>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</si>
  <si>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</si>
  <si>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</si>
  <si>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</si>
  <si>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</si>
  <si>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</si>
  <si>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</si>
  <si>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</si>
  <si>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</si>
  <si>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</si>
  <si>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</si>
  <si>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</si>
  <si>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</si>
  <si>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</si>
  <si>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</si>
  <si>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</si>
  <si>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</si>
  <si>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</si>
  <si>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</si>
  <si>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</si>
  <si>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</si>
  <si>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</si>
  <si>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</si>
  <si>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</si>
  <si>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</si>
  <si>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</si>
  <si>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</si>
  <si>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</si>
  <si>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</si>
  <si>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</si>
  <si>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</si>
  <si>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</si>
  <si>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</si>
  <si>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</si>
  <si>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</si>
  <si>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</si>
  <si>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</si>
  <si>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</si>
  <si>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</si>
  <si>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</si>
  <si>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</si>
  <si>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</si>
  <si>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</si>
  <si>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</si>
  <si>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</si>
  <si>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</si>
  <si>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</si>
  <si>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</si>
  <si>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</si>
  <si>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</si>
  <si>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</si>
  <si>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</si>
  <si>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</si>
  <si>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</si>
  <si>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</si>
  <si>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</si>
  <si>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</si>
  <si>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</si>
  <si>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</si>
  <si>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</si>
  <si>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</si>
  <si>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</si>
  <si>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</si>
  <si>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</si>
  <si>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</si>
  <si>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</si>
  <si>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</si>
  <si>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</si>
  <si>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</si>
  <si>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</si>
  <si>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</si>
  <si>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</si>
  <si>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</si>
  <si>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</si>
  <si>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</si>
  <si>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</si>
  <si>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</si>
  <si>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</si>
  <si>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</si>
  <si>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</si>
  <si>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</si>
  <si>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</si>
  <si>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</si>
  <si>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</si>
  <si>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</si>
  <si>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</si>
  <si>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</si>
  <si>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</si>
  <si>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</si>
  <si>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</si>
  <si>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</si>
  <si>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</si>
  <si>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</si>
  <si>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</si>
  <si>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</si>
  <si>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</si>
  <si>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</si>
  <si>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</si>
  <si>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</si>
  <si>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</si>
  <si>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</si>
  <si>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</si>
  <si>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</si>
  <si>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</si>
  <si>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</si>
  <si>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</si>
  <si>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</si>
  <si>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</si>
  <si>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</si>
  <si>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</si>
  <si>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</si>
  <si>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</si>
  <si>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</si>
  <si>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</si>
  <si>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</si>
  <si>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</si>
  <si>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</si>
  <si>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</si>
  <si>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</si>
  <si>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</si>
  <si>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</si>
  <si>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</si>
  <si>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</si>
  <si>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</si>
  <si>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</si>
  <si>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</si>
  <si>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</si>
  <si>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</si>
  <si>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</si>
  <si>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</si>
  <si>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</si>
  <si>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</si>
  <si>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</si>
  <si>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</si>
  <si>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</si>
  <si>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</si>
  <si>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</si>
  <si>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</si>
  <si>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</si>
  <si>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</si>
  <si>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</si>
  <si>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</si>
  <si>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</si>
  <si>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</si>
  <si>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</si>
  <si>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</si>
  <si>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</si>
  <si>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</si>
  <si>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</si>
  <si>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</si>
  <si>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</si>
  <si>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</si>
  <si>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</si>
  <si>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</si>
  <si>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</si>
  <si>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</si>
  <si>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</si>
  <si>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</si>
  <si>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</si>
  <si>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</si>
  <si>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</si>
  <si>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</si>
  <si>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</si>
  <si>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</si>
  <si>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</si>
  <si>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</si>
  <si>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</si>
  <si>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</si>
  <si>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</si>
  <si>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</si>
  <si>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</si>
  <si>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</si>
  <si>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</si>
  <si>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</si>
  <si>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</si>
  <si>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</si>
  <si>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</si>
  <si>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</si>
  <si>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</si>
  <si>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</si>
  <si>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</si>
  <si>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</si>
  <si>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</si>
  <si>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</si>
  <si>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</si>
  <si>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</si>
  <si>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</si>
  <si>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</si>
  <si>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</si>
  <si>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</si>
  <si>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</si>
  <si>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</si>
  <si>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</si>
  <si>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</si>
  <si>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</si>
  <si>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</si>
  <si>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</si>
  <si>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</si>
  <si>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</si>
  <si>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</si>
  <si>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</si>
  <si>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</si>
  <si>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</si>
  <si>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</si>
  <si>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</si>
  <si>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</si>
  <si>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</si>
  <si>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</si>
  <si>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</si>
  <si>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</si>
  <si>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</si>
  <si>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</si>
  <si>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</si>
  <si>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</si>
  <si>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</si>
  <si>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</si>
  <si>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</si>
  <si>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</si>
  <si>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</si>
  <si>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</si>
  <si>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</si>
  <si>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</si>
  <si>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</si>
  <si>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</si>
  <si>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</si>
  <si>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</si>
  <si>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</si>
  <si>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</si>
  <si>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</si>
  <si>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</si>
  <si>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</si>
  <si>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</si>
  <si>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</si>
  <si>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</si>
  <si>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</si>
  <si>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</si>
  <si>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</si>
  <si>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</si>
  <si>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</si>
  <si>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</si>
  <si>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</si>
  <si>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</si>
  <si>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</si>
  <si>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</si>
  <si>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</si>
  <si>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</si>
  <si>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</si>
  <si>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</si>
  <si>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</si>
  <si>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</si>
  <si>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</si>
  <si>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</si>
  <si>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</si>
  <si>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</si>
  <si>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</si>
  <si>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</si>
  <si>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</si>
  <si>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</si>
  <si>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</si>
  <si>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</si>
  <si>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</si>
  <si>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</si>
  <si>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</si>
  <si>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</si>
  <si>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</si>
  <si>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</si>
  <si>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</si>
  <si>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</si>
  <si>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</si>
  <si>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</si>
  <si>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</si>
  <si>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</si>
  <si>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</si>
  <si>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</si>
  <si>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</si>
  <si>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</si>
  <si>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</si>
  <si>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</si>
  <si>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</si>
  <si>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</si>
  <si>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</si>
  <si>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</si>
  <si>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</si>
  <si>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</si>
  <si>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</si>
  <si>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</si>
  <si>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</si>
  <si>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</si>
  <si>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</si>
  <si>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</si>
  <si>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</si>
  <si>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</si>
  <si>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</si>
  <si>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</si>
  <si>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</si>
  <si>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</si>
  <si>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</si>
  <si>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</si>
  <si>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</si>
  <si>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</si>
  <si>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</si>
  <si>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</si>
  <si>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</si>
  <si>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</si>
  <si>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</si>
  <si>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</si>
  <si>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</si>
  <si>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</si>
  <si>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</si>
  <si>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</si>
  <si>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</si>
  <si>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</si>
  <si>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</si>
  <si>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</si>
  <si>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</si>
  <si>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</si>
  <si>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</si>
  <si>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</si>
  <si>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</si>
  <si>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</si>
  <si>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</si>
  <si>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</si>
  <si>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</si>
  <si>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</si>
  <si>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</si>
  <si>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</si>
  <si>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</si>
  <si>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</si>
  <si>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</si>
  <si>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</si>
  <si>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</si>
  <si>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</si>
  <si>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</si>
  <si>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</si>
  <si>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</si>
  <si>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</si>
  <si>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</si>
  <si>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</si>
  <si>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</si>
  <si>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</si>
  <si>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</si>
  <si>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</si>
  <si>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</si>
  <si>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</si>
  <si>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</si>
  <si>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</si>
  <si>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</si>
  <si>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</si>
  <si>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</si>
  <si>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</si>
  <si>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</si>
  <si>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</si>
  <si>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</si>
  <si>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</si>
  <si>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</si>
  <si>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</si>
  <si>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</si>
  <si>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</si>
  <si>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</si>
  <si>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</si>
  <si>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</si>
  <si>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</si>
  <si>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</si>
  <si>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</si>
  <si>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</si>
  <si>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</si>
  <si>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</si>
  <si>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</si>
  <si>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</si>
  <si>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</si>
  <si>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</si>
  <si>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</si>
  <si>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</si>
  <si>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</si>
  <si>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</si>
  <si>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</si>
  <si>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</si>
  <si>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</si>
  <si>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</si>
  <si>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</si>
  <si>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</si>
  <si>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</si>
  <si>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</si>
  <si>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</si>
  <si>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</si>
  <si>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</si>
  <si>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</si>
  <si>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</si>
  <si>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</si>
  <si>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</si>
  <si>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</si>
  <si>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</si>
  <si>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</si>
  <si>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</si>
  <si>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</si>
  <si>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</si>
  <si>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</si>
  <si>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</si>
  <si>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</si>
  <si>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</si>
  <si>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</si>
  <si>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</si>
  <si>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</si>
  <si>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</si>
  <si>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</si>
  <si>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</si>
  <si>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</si>
  <si>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</si>
  <si>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</si>
  <si>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</si>
  <si>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</si>
  <si>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</si>
  <si>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</si>
  <si>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</si>
  <si>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</si>
  <si>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</si>
  <si>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</si>
  <si>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</si>
  <si>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</si>
  <si>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</si>
  <si>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</si>
  <si>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</si>
  <si>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</si>
  <si>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</si>
  <si>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</si>
  <si>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</si>
  <si>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</si>
  <si>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</si>
  <si>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</si>
  <si>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</si>
  <si>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</si>
  <si>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</si>
  <si>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</si>
  <si>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</si>
  <si>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</si>
  <si>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</si>
  <si>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</si>
  <si>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</si>
  <si>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</si>
  <si>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</si>
  <si>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</si>
  <si>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</si>
  <si>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</si>
  <si>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</si>
  <si>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</si>
  <si>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</si>
  <si>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</si>
  <si>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</si>
  <si>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</si>
  <si>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</si>
  <si>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</si>
  <si>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</si>
  <si>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</si>
  <si>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</si>
  <si>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</si>
  <si>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</si>
  <si>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</si>
  <si>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</si>
  <si>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</si>
  <si>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</si>
  <si>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</si>
  <si>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</si>
  <si>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</si>
  <si>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</si>
  <si>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</si>
  <si>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</si>
  <si>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</si>
  <si>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</si>
  <si>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</si>
  <si>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</si>
  <si>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</si>
  <si>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</si>
  <si>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</si>
  <si>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</si>
  <si>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</si>
  <si>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</si>
  <si>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</si>
  <si>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</si>
  <si>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</si>
  <si>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</si>
  <si>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</si>
  <si>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</si>
  <si>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</si>
  <si>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</si>
  <si>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</si>
  <si>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</si>
  <si>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</si>
  <si>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</si>
  <si>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</si>
  <si>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</si>
  <si>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</si>
  <si>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</si>
  <si>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</si>
  <si>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</si>
  <si>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</si>
  <si>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</si>
  <si>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</si>
  <si>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</si>
  <si>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</si>
  <si>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</si>
  <si>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</si>
  <si>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</si>
  <si>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</si>
  <si>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</si>
  <si>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</si>
  <si>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</si>
  <si>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</si>
  <si>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</si>
  <si>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</si>
  <si>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</si>
  <si>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</si>
  <si>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</si>
  <si>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</si>
  <si>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</si>
  <si>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</si>
  <si>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</si>
  <si>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</si>
  <si>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</si>
  <si>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</si>
  <si>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</si>
  <si>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</si>
  <si>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</si>
  <si>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</si>
  <si>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</si>
  <si>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</si>
  <si>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</si>
  <si>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</si>
  <si>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</si>
  <si>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</si>
  <si>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</si>
  <si>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</si>
  <si>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</si>
  <si>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</si>
  <si>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</si>
  <si>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</si>
  <si>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</si>
  <si>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</si>
  <si>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</si>
  <si>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</si>
  <si>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</si>
  <si>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</si>
  <si>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</si>
  <si>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</si>
  <si>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</si>
  <si>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</si>
  <si>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</si>
  <si>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</si>
  <si>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</si>
  <si>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</si>
  <si>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</si>
  <si>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</si>
  <si>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</si>
  <si>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</si>
  <si>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</si>
  <si>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</si>
  <si>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</si>
  <si>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</si>
  <si>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</si>
  <si>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</si>
  <si>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</si>
  <si>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</si>
  <si>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</si>
  <si>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</si>
  <si>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</si>
  <si>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</si>
  <si>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</si>
  <si>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</si>
  <si>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</si>
  <si>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</si>
  <si>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</si>
  <si>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</si>
  <si>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</si>
  <si>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</si>
  <si>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</si>
  <si>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</si>
  <si>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</si>
  <si>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</si>
  <si>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</si>
  <si>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</si>
  <si>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</si>
  <si>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</si>
  <si>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</si>
  <si>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</si>
  <si>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</si>
  <si>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</si>
  <si>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</si>
  <si>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</si>
  <si>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</si>
  <si>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</si>
  <si>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</si>
  <si>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</si>
  <si>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</si>
  <si>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</si>
  <si>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</si>
  <si>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</si>
  <si>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</si>
  <si>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</si>
  <si>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</si>
  <si>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</si>
  <si>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</si>
  <si>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</si>
  <si>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</si>
  <si>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</si>
  <si>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</si>
  <si>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</si>
  <si>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</si>
  <si>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</si>
  <si>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</si>
  <si>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</si>
  <si>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</si>
  <si>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</si>
  <si>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</si>
  <si>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</si>
  <si>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</si>
  <si>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</si>
  <si>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</si>
  <si>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</si>
  <si>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</si>
  <si>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</si>
  <si>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</si>
  <si>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</si>
  <si>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</si>
  <si>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</si>
  <si>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</si>
  <si>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</si>
  <si>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</si>
  <si>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</si>
  <si>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</si>
  <si>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</si>
  <si>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</si>
  <si>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</si>
  <si>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</si>
  <si>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</si>
  <si>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</si>
  <si>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</si>
  <si>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</si>
  <si>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</si>
  <si>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</si>
  <si>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</si>
  <si>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</si>
  <si>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</si>
  <si>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</si>
  <si>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</si>
  <si>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</si>
  <si>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</si>
  <si>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</si>
  <si>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</si>
  <si>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</si>
  <si>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</si>
  <si>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</si>
  <si>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</si>
  <si>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</si>
  <si>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</si>
  <si>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</si>
  <si>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</si>
  <si>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</si>
  <si>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</si>
  <si>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</si>
  <si>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</si>
  <si>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</si>
  <si>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</si>
  <si>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</si>
  <si>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</si>
  <si>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</si>
  <si>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</si>
  <si>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</si>
  <si>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</si>
  <si>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</si>
  <si>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</si>
  <si>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</si>
  <si>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</si>
  <si>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</si>
  <si>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</si>
  <si>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</si>
  <si>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</si>
  <si>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</si>
  <si>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</si>
  <si>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</si>
  <si>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</si>
  <si>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</si>
  <si>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</si>
  <si>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</si>
  <si>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</si>
  <si>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</si>
  <si>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</si>
  <si>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</si>
  <si>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</si>
  <si>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</si>
  <si>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</si>
  <si>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</si>
  <si>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</si>
  <si>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</si>
  <si>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</si>
  <si>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</si>
  <si>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</si>
  <si>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</si>
  <si>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</si>
  <si>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</si>
  <si>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</si>
  <si>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</si>
  <si>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</si>
  <si>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</si>
  <si>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</si>
  <si>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</si>
  <si>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</si>
  <si>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</si>
  <si>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</si>
  <si>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</si>
  <si>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</si>
  <si>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</si>
  <si>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</si>
  <si>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</si>
  <si>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</si>
  <si>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</si>
  <si>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</si>
  <si>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</si>
  <si>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</si>
  <si>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</si>
  <si>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</si>
  <si>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</si>
  <si>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</si>
  <si>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</si>
  <si>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</si>
  <si>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</si>
  <si>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</si>
  <si>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</si>
  <si>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</si>
  <si>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</si>
  <si>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</si>
  <si>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</si>
  <si>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</si>
  <si>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</si>
  <si>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</si>
  <si>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</si>
  <si>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</si>
  <si>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</si>
  <si>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</si>
  <si>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</si>
  <si>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</si>
  <si>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</si>
  <si>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</si>
  <si>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</si>
  <si>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</si>
  <si>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</si>
  <si>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</si>
  <si>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</si>
  <si>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</si>
  <si>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</si>
  <si>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</si>
  <si>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</si>
  <si>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</si>
  <si>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</si>
  <si>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</si>
  <si>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</si>
  <si>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</si>
  <si>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</si>
  <si>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</si>
  <si>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</si>
  <si>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</si>
  <si>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</si>
  <si>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</si>
  <si>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</si>
  <si>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</si>
  <si>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</si>
  <si>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</si>
  <si>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</si>
  <si>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</si>
  <si>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</si>
  <si>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</si>
  <si>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</si>
  <si>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</si>
  <si>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</si>
  <si>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</si>
  <si>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</si>
  <si>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</si>
  <si>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</si>
  <si>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</si>
  <si>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</si>
  <si>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</si>
  <si>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</si>
  <si>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</si>
  <si>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</si>
  <si>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</si>
  <si>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</si>
  <si>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</si>
  <si>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</si>
  <si>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</si>
  <si>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</si>
  <si>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</si>
  <si>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</si>
  <si>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</si>
  <si>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</si>
  <si>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</si>
  <si>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</si>
  <si>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</si>
  <si>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</si>
  <si>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</si>
  <si>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</si>
  <si>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</si>
  <si>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</si>
  <si>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</si>
  <si>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</si>
  <si>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</si>
  <si>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</si>
  <si>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</si>
  <si>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</si>
  <si>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</si>
  <si>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</si>
  <si>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</si>
  <si>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</si>
  <si>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</si>
  <si>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</si>
  <si>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</si>
  <si>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</si>
  <si>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</si>
  <si>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</si>
  <si>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</si>
  <si>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</si>
  <si>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</si>
  <si>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</si>
  <si>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</si>
  <si>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</si>
  <si>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</si>
  <si>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</si>
  <si>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</si>
  <si>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</si>
  <si>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</si>
  <si>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</si>
  <si>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</si>
  <si>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</si>
  <si>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</si>
  <si>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</si>
  <si>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</si>
  <si>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</si>
  <si>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</si>
  <si>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</si>
  <si>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</si>
  <si>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</si>
  <si>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</si>
  <si>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</si>
  <si>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</si>
  <si>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</si>
  <si>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</si>
  <si>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</si>
  <si>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</si>
  <si>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</si>
  <si>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</si>
  <si>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</si>
  <si>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</si>
  <si>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</si>
  <si>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</si>
  <si>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</si>
  <si>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</si>
  <si>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</si>
  <si>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</si>
  <si>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</si>
  <si>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</si>
  <si>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</si>
  <si>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</si>
  <si>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</si>
  <si>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</si>
  <si>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</si>
  <si>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</si>
  <si>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</si>
  <si>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</si>
  <si>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</si>
  <si>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</si>
  <si>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</si>
  <si>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</si>
  <si>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</si>
  <si>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</si>
  <si>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</si>
  <si>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</si>
  <si>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</si>
  <si>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</si>
  <si>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</si>
  <si>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</si>
  <si>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</si>
  <si>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</si>
  <si>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</si>
  <si>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</si>
  <si>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</si>
  <si>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</si>
  <si>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</si>
  <si>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</si>
  <si>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</si>
  <si>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</si>
  <si>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</si>
  <si>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</si>
  <si>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</si>
  <si>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</si>
  <si>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</si>
  <si>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</si>
  <si>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</si>
  <si>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</si>
  <si>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</si>
  <si>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</si>
  <si>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</si>
  <si>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</si>
  <si>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</si>
  <si>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</si>
  <si>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</si>
  <si>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</si>
  <si>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</si>
  <si>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</si>
  <si>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</si>
  <si>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</si>
  <si>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</si>
  <si>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</si>
  <si>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</si>
  <si>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</si>
  <si>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</si>
  <si>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</si>
  <si>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</si>
  <si>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</si>
  <si>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</si>
  <si>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</si>
  <si>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</si>
  <si>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</si>
  <si>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</si>
  <si>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</si>
  <si>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</si>
  <si>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</si>
  <si>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</si>
  <si>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</si>
  <si>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</si>
  <si>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</si>
  <si>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</si>
  <si>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</si>
  <si>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</si>
  <si>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</si>
  <si>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</si>
  <si>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</si>
  <si>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</si>
  <si>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</si>
  <si>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</si>
  <si>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</si>
  <si>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</si>
  <si>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</si>
  <si>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</si>
  <si>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</si>
  <si>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</si>
  <si>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</si>
  <si>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</si>
  <si>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</si>
  <si>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</si>
  <si>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</si>
  <si>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</si>
  <si>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</si>
  <si>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</si>
  <si>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</si>
  <si>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</si>
  <si>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</si>
  <si>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</si>
  <si>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</si>
  <si>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</si>
  <si>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</si>
  <si>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</si>
  <si>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</si>
  <si>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</si>
  <si>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</si>
  <si>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</si>
  <si>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</si>
  <si>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</si>
  <si>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</si>
  <si>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</si>
  <si>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</si>
  <si>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</si>
  <si>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</si>
  <si>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</si>
  <si>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</si>
  <si>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</si>
  <si>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</si>
  <si>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</si>
  <si>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</si>
  <si>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</si>
  <si>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</si>
  <si>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</si>
  <si>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</si>
  <si>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</si>
  <si>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</si>
  <si>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</si>
  <si>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</si>
  <si>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</si>
  <si>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</si>
  <si>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</si>
  <si>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</si>
  <si>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</si>
  <si>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</si>
  <si>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</si>
  <si>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</si>
  <si>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</si>
  <si>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</si>
  <si>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</si>
  <si>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</si>
  <si>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</si>
  <si>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</si>
  <si>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</si>
  <si>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</si>
  <si>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</si>
  <si>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</si>
  <si>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</si>
  <si>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</si>
  <si>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</si>
  <si>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</si>
  <si>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</si>
  <si>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</si>
  <si>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</si>
  <si>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</si>
  <si>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</si>
  <si>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</si>
  <si>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</si>
  <si>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</si>
  <si>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</si>
  <si>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</si>
  <si>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</si>
  <si>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</si>
  <si>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</si>
  <si>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</si>
  <si>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</si>
  <si>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</si>
  <si>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</si>
  <si>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</si>
  <si>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</si>
  <si>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</si>
  <si>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</si>
  <si>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</si>
  <si>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</si>
  <si>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</si>
  <si>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</si>
  <si>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</si>
  <si>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</si>
  <si>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</si>
  <si>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</si>
  <si>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</si>
  <si>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</si>
  <si>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</si>
  <si>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</si>
  <si>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</si>
  <si>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</si>
  <si>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</si>
  <si>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</si>
  <si>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</si>
  <si>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</si>
  <si>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</si>
  <si>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</si>
  <si>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</si>
  <si>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</si>
  <si>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</si>
  <si>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</si>
  <si>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</si>
  <si>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</si>
  <si>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</si>
  <si>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</si>
  <si>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</si>
  <si>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</si>
  <si>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</si>
  <si>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</si>
  <si>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</si>
  <si>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</si>
  <si>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</si>
  <si>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</si>
  <si>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</si>
  <si>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</si>
  <si>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</si>
  <si>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</si>
  <si>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</si>
  <si>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</si>
  <si>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</si>
  <si>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</si>
  <si>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</si>
  <si>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</si>
  <si>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</si>
  <si>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</si>
  <si>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</si>
  <si>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</si>
  <si>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</si>
  <si>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</si>
  <si>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</si>
  <si>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</si>
  <si>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</si>
  <si>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</si>
  <si>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</si>
  <si>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</si>
  <si>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</si>
  <si>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</si>
  <si>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</si>
  <si>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</si>
  <si>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</si>
  <si>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</si>
  <si>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</si>
  <si>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</si>
  <si>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</si>
  <si>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</si>
  <si>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</si>
  <si>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</si>
  <si>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</si>
  <si>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</si>
  <si>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</si>
  <si>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</si>
  <si>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</si>
  <si>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</si>
  <si>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</si>
  <si>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</si>
  <si>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</si>
  <si>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</si>
  <si>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</si>
  <si>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</si>
  <si>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</si>
  <si>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</si>
  <si>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</si>
  <si>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</si>
  <si>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</si>
  <si>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</si>
  <si>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</si>
  <si>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</si>
  <si>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</si>
  <si>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</si>
  <si>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</si>
  <si>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</si>
  <si>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</si>
  <si>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</si>
  <si>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</si>
  <si>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</si>
  <si>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</si>
  <si>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</si>
  <si>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</si>
  <si>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</si>
  <si>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</si>
  <si>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</si>
  <si>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</si>
  <si>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</si>
  <si>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</si>
  <si>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</si>
  <si>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</si>
  <si>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</si>
  <si>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</si>
  <si>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</si>
  <si>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</si>
  <si>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</si>
  <si>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</si>
  <si>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</si>
  <si>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</si>
  <si>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</si>
  <si>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</si>
  <si>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</si>
  <si>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</si>
  <si>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</si>
  <si>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</si>
  <si>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</si>
  <si>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</si>
  <si>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</si>
  <si>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</si>
  <si>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</si>
  <si>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</si>
  <si>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</si>
  <si>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</si>
  <si>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</si>
  <si>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</si>
  <si>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</si>
  <si>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</si>
  <si>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</si>
  <si>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</si>
  <si>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</si>
  <si>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</si>
  <si>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</si>
  <si>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</si>
  <si>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</si>
  <si>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</si>
  <si>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</si>
  <si>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</si>
  <si>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</si>
  <si>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</si>
  <si>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</si>
  <si>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</si>
  <si>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</si>
  <si>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</si>
  <si>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</si>
  <si>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</si>
  <si>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</si>
  <si>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</si>
  <si>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</si>
  <si>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</si>
  <si>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</si>
  <si>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</si>
  <si>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</si>
  <si>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</si>
  <si>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</si>
  <si>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</si>
  <si>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</si>
  <si>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</si>
  <si>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</si>
  <si>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</si>
  <si>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</si>
  <si>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</si>
  <si>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</si>
  <si>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</si>
  <si>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</si>
  <si>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</si>
  <si>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</si>
  <si>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</si>
  <si>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</si>
  <si>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</si>
  <si>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</si>
  <si>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</si>
  <si>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</si>
  <si>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</si>
  <si>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</si>
  <si>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</si>
  <si>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</si>
  <si>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</si>
  <si>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</si>
  <si>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</si>
  <si>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</si>
  <si>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</si>
  <si>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</si>
  <si>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</si>
  <si>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</si>
  <si>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</si>
  <si>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</si>
  <si>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</si>
  <si>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</si>
  <si>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</si>
  <si>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</si>
  <si>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</si>
  <si>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</si>
  <si>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</si>
  <si>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</si>
  <si>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</si>
  <si>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</si>
  <si>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</si>
  <si>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</si>
  <si>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</si>
  <si>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</si>
  <si>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</si>
  <si>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</si>
  <si>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</si>
  <si>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</si>
  <si>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</si>
  <si>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</si>
  <si>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</si>
  <si>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</si>
  <si>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</si>
  <si>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</si>
  <si>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</si>
  <si>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</si>
  <si>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</si>
  <si>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</si>
  <si>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</si>
  <si>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</si>
  <si>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</si>
  <si>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</si>
  <si>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</si>
  <si>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</si>
  <si>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</si>
  <si>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</si>
  <si>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</si>
  <si>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</si>
  <si>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</si>
  <si>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</si>
  <si>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</si>
  <si>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</si>
  <si>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</si>
  <si>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</si>
  <si>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</si>
  <si>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</si>
  <si>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</si>
  <si>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</si>
  <si>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</si>
  <si>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</si>
  <si>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</si>
  <si>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</si>
  <si>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</si>
  <si>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</si>
  <si>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</si>
  <si>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</si>
  <si>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</si>
  <si>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</si>
  <si>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</si>
  <si>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</si>
  <si>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</si>
  <si>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</si>
  <si>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</si>
  <si>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</si>
  <si>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</si>
  <si>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</si>
  <si>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</si>
  <si>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</si>
  <si>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</si>
  <si>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</si>
  <si>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</si>
  <si>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</si>
  <si>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</si>
  <si>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</si>
  <si>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</si>
  <si>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</si>
  <si>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</si>
  <si>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</si>
  <si>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</si>
  <si>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</si>
  <si>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</si>
  <si>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</si>
  <si>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</si>
  <si>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</si>
  <si>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</si>
  <si>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</si>
  <si>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</si>
  <si>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</si>
  <si>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</si>
  <si>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</si>
  <si>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</si>
  <si>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</si>
  <si>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</si>
  <si>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</si>
  <si>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</si>
  <si>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</si>
  <si>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</si>
  <si>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</si>
  <si>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</si>
  <si>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</si>
  <si>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</si>
  <si>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</si>
  <si>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</si>
  <si>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</si>
  <si>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</si>
  <si>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</si>
  <si>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</si>
  <si>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</si>
  <si>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</si>
  <si>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</si>
  <si>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</si>
  <si>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</si>
  <si>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</si>
  <si>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</si>
  <si>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</si>
  <si>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</si>
  <si>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</si>
  <si>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</si>
  <si>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</si>
  <si>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</si>
  <si>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</si>
  <si>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</si>
  <si>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</si>
  <si>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</si>
  <si>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</si>
  <si>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</si>
  <si>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</si>
  <si>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</si>
  <si>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</si>
  <si>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</si>
  <si>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</si>
  <si>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</si>
  <si>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</si>
  <si>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</si>
  <si>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</si>
  <si>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</si>
  <si>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</si>
  <si>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</si>
  <si>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</si>
  <si>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</si>
  <si>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</si>
  <si>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</si>
  <si>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</si>
  <si>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</si>
  <si>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</si>
  <si>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</si>
  <si>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</si>
  <si>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</si>
  <si>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</si>
  <si>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</si>
  <si>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</si>
  <si>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</si>
  <si>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</si>
  <si>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</si>
  <si>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</si>
  <si>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</si>
  <si>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</si>
  <si>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</si>
  <si>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</si>
  <si>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</si>
  <si>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</si>
  <si>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</si>
  <si>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</si>
  <si>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</si>
  <si>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</si>
  <si>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</si>
  <si>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</si>
  <si>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</si>
  <si>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</si>
  <si>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</si>
  <si>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</si>
  <si>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</si>
  <si>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</si>
  <si>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</si>
  <si>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</si>
  <si>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</si>
  <si>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</si>
  <si>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</si>
  <si>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</si>
  <si>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</si>
  <si>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</si>
  <si>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</si>
  <si>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</si>
  <si>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</si>
  <si>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</si>
  <si>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</si>
  <si>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</si>
  <si>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</si>
  <si>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</si>
  <si>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</si>
  <si>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</si>
  <si>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</si>
  <si>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</si>
  <si>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</si>
  <si>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</si>
  <si>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</si>
  <si>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</si>
  <si>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</si>
  <si>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</si>
  <si>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</si>
  <si>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</si>
  <si>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</si>
  <si>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</si>
  <si>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</si>
  <si>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</si>
  <si>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</si>
  <si>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</si>
  <si>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</si>
  <si>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</si>
  <si>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</si>
  <si>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</si>
  <si>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</si>
  <si>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</si>
  <si>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</si>
  <si>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</si>
  <si>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</si>
  <si>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</si>
  <si>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</si>
  <si>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</si>
  <si>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</si>
  <si>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</si>
  <si>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</si>
  <si>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</si>
  <si>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</si>
  <si>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</si>
  <si>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</si>
  <si>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</si>
  <si>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</si>
  <si>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</si>
  <si>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</si>
  <si>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</si>
  <si>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</si>
  <si>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</si>
  <si>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</si>
  <si>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</si>
  <si>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</si>
  <si>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</si>
  <si>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</si>
  <si>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</si>
  <si>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</si>
  <si>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</si>
  <si>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</si>
  <si>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</si>
  <si>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</si>
  <si>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</si>
  <si>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</si>
  <si>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</si>
  <si>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</si>
  <si>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</si>
  <si>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</si>
  <si>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</si>
  <si>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</si>
  <si>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</si>
  <si>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</si>
  <si>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</si>
  <si>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</si>
  <si>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</si>
  <si>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</si>
  <si>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</si>
  <si>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</si>
  <si>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</si>
  <si>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</si>
  <si>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</si>
  <si>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</si>
  <si>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</si>
  <si>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</si>
  <si>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</si>
  <si>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</si>
  <si>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</si>
  <si>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</si>
  <si>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</si>
  <si>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</si>
  <si>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</si>
  <si>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</si>
  <si>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</si>
  <si>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</si>
  <si>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</si>
  <si>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</si>
  <si>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</si>
  <si>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</si>
  <si>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</si>
  <si>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</si>
  <si>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</si>
  <si>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</si>
  <si>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</si>
  <si>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</si>
  <si>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</si>
  <si>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</si>
  <si>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</si>
  <si>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</si>
  <si>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</si>
  <si>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</si>
  <si>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</si>
  <si>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</si>
  <si>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</si>
  <si>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</si>
  <si>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</si>
  <si>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</si>
  <si>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</si>
  <si>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</si>
  <si>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</si>
  <si>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</si>
  <si>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</si>
  <si>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</si>
  <si>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</si>
  <si>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</si>
  <si>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</si>
  <si>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</si>
  <si>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</si>
  <si>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</si>
  <si>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</si>
  <si>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</si>
  <si>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</si>
  <si>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</si>
  <si>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</si>
  <si>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</si>
  <si>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</si>
  <si>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</si>
  <si>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</si>
  <si>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</si>
  <si>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</si>
  <si>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</si>
  <si>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</si>
  <si>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</si>
  <si>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</si>
  <si>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</si>
  <si>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</si>
  <si>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</si>
  <si>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</si>
  <si>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</si>
  <si>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</si>
  <si>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</si>
  <si>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</si>
  <si>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</si>
  <si>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</si>
  <si>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</si>
  <si>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</si>
  <si>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</si>
  <si>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</si>
  <si>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</si>
  <si>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</si>
  <si>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</si>
  <si>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</si>
  <si>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</si>
  <si>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</si>
  <si>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</si>
  <si>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</si>
  <si>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</si>
  <si>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</si>
  <si>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</si>
  <si>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</si>
  <si>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</si>
  <si>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</si>
  <si>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</si>
  <si>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</si>
  <si>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</si>
  <si>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</si>
  <si>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</si>
  <si>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</si>
  <si>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</si>
  <si>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</si>
  <si>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</si>
  <si>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</si>
  <si>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</si>
  <si>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</si>
  <si>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</si>
  <si>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</si>
  <si>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</si>
  <si>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</si>
  <si>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</si>
  <si>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</si>
  <si>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</si>
  <si>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</si>
  <si>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</si>
  <si>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</si>
  <si>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</si>
  <si>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</si>
  <si>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</si>
  <si>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</si>
  <si>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</si>
  <si>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</si>
  <si>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</si>
  <si>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</si>
  <si>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</si>
  <si>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</si>
  <si>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</si>
  <si>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</si>
  <si>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</si>
  <si>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</si>
  <si>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</si>
  <si>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</si>
  <si>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</si>
  <si>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</si>
  <si>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</si>
  <si>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</si>
  <si>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</si>
  <si>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</si>
  <si>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</si>
  <si>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</si>
  <si>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</si>
  <si>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</si>
  <si>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</si>
  <si>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</si>
  <si>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</si>
  <si>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</si>
  <si>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</si>
  <si>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</si>
  <si>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</si>
  <si>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</si>
  <si>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</si>
  <si>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</si>
  <si>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</si>
  <si>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</si>
  <si>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</si>
  <si>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</si>
  <si>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</si>
  <si>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</si>
  <si>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</si>
  <si>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</si>
  <si>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</si>
  <si>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</si>
  <si>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</si>
  <si>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</si>
  <si>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</si>
  <si>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</si>
  <si>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</si>
  <si>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</si>
  <si>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</si>
  <si>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</si>
  <si>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</si>
  <si>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</si>
  <si>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</si>
  <si>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</si>
  <si>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</si>
  <si>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</si>
  <si>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</si>
  <si>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</si>
  <si>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</si>
  <si>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</si>
  <si>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</si>
  <si>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</si>
  <si>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</si>
  <si>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</si>
  <si>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</si>
  <si>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</si>
  <si>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</si>
  <si>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</si>
  <si>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</si>
  <si>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</si>
  <si>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</si>
  <si>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</si>
  <si>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</si>
  <si>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</si>
  <si>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</si>
  <si>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</si>
  <si>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</si>
  <si>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</si>
  <si>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</si>
  <si>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</si>
  <si>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</si>
  <si>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</si>
  <si>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</si>
  <si>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</si>
  <si>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</si>
  <si>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</si>
  <si>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</si>
  <si>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</si>
  <si>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</si>
  <si>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</si>
  <si>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</si>
  <si>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</si>
  <si>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</si>
  <si>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</si>
  <si>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</si>
  <si>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</si>
  <si>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</si>
  <si>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</si>
  <si>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</si>
  <si>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</si>
  <si>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</si>
  <si>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</si>
  <si>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</si>
  <si>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</si>
  <si>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</si>
  <si>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</si>
  <si>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</si>
  <si>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</si>
  <si>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</si>
  <si>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</si>
  <si>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</si>
  <si>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</si>
  <si>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</si>
  <si>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</si>
  <si>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</si>
  <si>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</si>
  <si>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</si>
  <si>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</si>
  <si>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</si>
  <si>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</si>
  <si>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</si>
  <si>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</si>
  <si>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</si>
  <si>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</si>
  <si>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</si>
  <si>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</si>
  <si>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</si>
  <si>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</si>
  <si>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</si>
  <si>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</si>
  <si>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</si>
  <si>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</si>
  <si>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</si>
  <si>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</si>
  <si>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</si>
  <si>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</si>
  <si>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</si>
  <si>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</si>
  <si>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</si>
  <si>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</si>
  <si>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</si>
  <si>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</si>
  <si>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</si>
  <si>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</si>
  <si>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</si>
  <si>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</si>
  <si>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</si>
  <si>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</si>
  <si>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</si>
  <si>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</si>
  <si>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</si>
  <si>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</si>
  <si>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</si>
  <si>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</si>
  <si>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</si>
  <si>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</si>
  <si>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</si>
  <si>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</si>
  <si>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</si>
  <si>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</si>
  <si>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</si>
  <si>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</si>
  <si>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</si>
  <si>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</si>
  <si>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</si>
  <si>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</si>
  <si>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</si>
  <si>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</si>
  <si>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</si>
  <si>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</si>
  <si>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</si>
  <si>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</si>
  <si>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</si>
  <si>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</si>
  <si>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</si>
  <si>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</si>
  <si>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</si>
  <si>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</si>
  <si>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</si>
  <si>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</si>
  <si>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</si>
  <si>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</si>
  <si>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</si>
  <si>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</si>
  <si>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</si>
  <si>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</si>
  <si>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</si>
  <si>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</si>
  <si>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</si>
  <si>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</si>
  <si>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</si>
  <si>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</si>
  <si>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</si>
  <si>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</si>
  <si>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</si>
  <si>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</si>
  <si>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</si>
  <si>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</si>
  <si>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</si>
  <si>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</si>
  <si>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</si>
  <si>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</si>
  <si>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</si>
  <si>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</si>
  <si>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</si>
  <si>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</si>
  <si>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</si>
  <si>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</si>
  <si>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</si>
  <si>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</si>
  <si>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</si>
  <si>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</si>
  <si>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</si>
  <si>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</si>
  <si>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</si>
  <si>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</si>
  <si>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</si>
  <si>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</si>
  <si>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</si>
  <si>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</si>
  <si>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</si>
  <si>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</si>
  <si>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</si>
  <si>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</si>
  <si>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</si>
  <si>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</si>
  <si>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</si>
  <si>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</si>
  <si>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</si>
  <si>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</si>
  <si>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</si>
  <si>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</si>
  <si>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</si>
  <si>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</si>
  <si>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</si>
  <si>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</si>
  <si>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</si>
  <si>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</si>
  <si>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</si>
  <si>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</si>
  <si>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</si>
  <si>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</si>
  <si>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</si>
  <si>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</si>
  <si>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</si>
  <si>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</si>
  <si>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</si>
  <si>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</si>
  <si>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</si>
  <si>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</si>
  <si>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</si>
  <si>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</si>
  <si>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</si>
  <si>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</si>
  <si>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</si>
  <si>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</si>
  <si>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</si>
  <si>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</si>
  <si>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</si>
  <si>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</si>
  <si>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</si>
  <si>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</si>
  <si>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</si>
  <si>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</si>
  <si>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</si>
  <si>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</si>
  <si>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</si>
  <si>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</si>
  <si>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</si>
  <si>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</si>
  <si>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</si>
  <si>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</si>
  <si>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</si>
  <si>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</si>
  <si>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</si>
  <si>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</si>
  <si>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</si>
  <si>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</si>
  <si>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</si>
  <si>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</si>
  <si>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</si>
  <si>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</si>
  <si>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</si>
  <si>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</si>
  <si>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</si>
  <si>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</si>
  <si>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</si>
  <si>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</si>
  <si>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</si>
  <si>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</si>
  <si>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</si>
  <si>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</si>
  <si>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</si>
  <si>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</si>
  <si>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</si>
  <si>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</si>
  <si>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</si>
  <si>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</si>
  <si>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</si>
  <si>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</si>
  <si>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</si>
  <si>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</si>
  <si>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</si>
  <si>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</si>
  <si>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</si>
  <si>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</si>
  <si>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</si>
  <si>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</si>
  <si>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</si>
  <si>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</si>
  <si>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</si>
  <si>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</si>
  <si>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</si>
  <si>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</si>
  <si>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</si>
  <si>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</si>
  <si>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</si>
  <si>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</si>
  <si>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</si>
  <si>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</si>
  <si>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</si>
  <si>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</si>
  <si>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</si>
  <si>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</si>
  <si>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</si>
  <si>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</si>
  <si>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</si>
  <si>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</si>
  <si>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</si>
  <si>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</si>
  <si>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</si>
  <si>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</si>
  <si>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</si>
  <si>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</si>
  <si>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</si>
  <si>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</si>
  <si>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</si>
  <si>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</si>
  <si>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</si>
  <si>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</si>
  <si>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</si>
  <si>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</si>
  <si>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</si>
  <si>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</si>
  <si>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</si>
  <si>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</si>
  <si>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</si>
  <si>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</si>
  <si>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</si>
  <si>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</si>
  <si>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</si>
  <si>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</si>
  <si>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</si>
  <si>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</si>
  <si>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</si>
  <si>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</si>
  <si>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</si>
  <si>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</si>
  <si>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</si>
  <si>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</si>
  <si>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</si>
  <si>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</si>
  <si>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</si>
  <si>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</si>
  <si>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</si>
  <si>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</si>
  <si>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</si>
  <si>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</si>
  <si>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</si>
  <si>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</si>
  <si>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</si>
  <si>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</si>
  <si>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</si>
  <si>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</si>
  <si>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</si>
  <si>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</si>
  <si>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</si>
  <si>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</si>
  <si>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</si>
  <si>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</si>
  <si>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</si>
  <si>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</si>
  <si>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</si>
  <si>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</si>
  <si>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</si>
  <si>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</si>
  <si>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</si>
  <si>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</si>
  <si>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</si>
  <si>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</si>
  <si>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</si>
  <si>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</si>
  <si>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</si>
  <si>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</si>
  <si>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</si>
  <si>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</si>
  <si>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</si>
  <si>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</si>
  <si>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</si>
  <si>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</si>
  <si>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</si>
  <si>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</si>
  <si>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</si>
  <si>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</si>
  <si>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</si>
  <si>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</si>
  <si>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</si>
  <si>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</si>
  <si>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</si>
  <si>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</si>
  <si>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</si>
  <si>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</si>
  <si>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</si>
  <si>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</si>
  <si>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</si>
  <si>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</si>
  <si>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</si>
  <si>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</si>
  <si>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</si>
  <si>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</si>
  <si>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</si>
  <si>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</si>
  <si>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</si>
  <si>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</si>
  <si>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</si>
  <si>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</si>
  <si>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</si>
  <si>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</si>
  <si>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</si>
  <si>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</si>
  <si>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</si>
  <si>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</si>
  <si>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</si>
  <si>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</si>
  <si>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</si>
  <si>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</si>
  <si>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</si>
  <si>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</si>
  <si>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</si>
  <si>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</si>
  <si>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</si>
  <si>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</si>
  <si>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</si>
  <si>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</si>
  <si>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</si>
  <si>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</si>
  <si>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</si>
  <si>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</si>
  <si>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</si>
  <si>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</si>
  <si>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</si>
  <si>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</si>
  <si>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</si>
  <si>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</si>
  <si>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</si>
  <si>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</si>
  <si>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</si>
  <si>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</si>
  <si>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</si>
  <si>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</si>
  <si>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</si>
  <si>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</si>
  <si>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</si>
  <si>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</si>
  <si>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</si>
  <si>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</si>
  <si>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</si>
  <si>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</si>
  <si>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</si>
  <si>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</si>
  <si>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</si>
  <si>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</si>
  <si>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</si>
  <si>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</si>
  <si>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</si>
  <si>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</si>
  <si>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</si>
  <si>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</si>
  <si>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</si>
  <si>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</si>
  <si>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</si>
  <si>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</si>
  <si>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</si>
  <si>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</si>
  <si>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</si>
  <si>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</si>
  <si>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</si>
  <si>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</si>
  <si>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</si>
  <si>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</si>
  <si>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</si>
  <si>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</si>
  <si>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</si>
  <si>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</si>
  <si>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</si>
  <si>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</si>
  <si>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</si>
  <si>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</si>
  <si>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</si>
  <si>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</si>
  <si>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</si>
  <si>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</si>
  <si>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</si>
  <si>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</si>
  <si>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</si>
  <si>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</si>
  <si>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</si>
  <si>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</si>
  <si>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</si>
  <si>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</si>
  <si>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</si>
  <si>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</si>
  <si>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</si>
  <si>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</si>
  <si>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</si>
  <si>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</si>
  <si>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</si>
  <si>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</si>
  <si>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</si>
  <si>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</si>
  <si>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</si>
  <si>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</si>
  <si>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</si>
  <si>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</si>
  <si>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</si>
  <si>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</si>
  <si>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</si>
  <si>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</si>
  <si>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</si>
  <si>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</si>
  <si>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</si>
  <si>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</si>
  <si>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</si>
  <si>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</si>
  <si>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</si>
  <si>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</si>
  <si>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</si>
  <si>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</si>
  <si>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</si>
  <si>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</si>
  <si>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</si>
  <si>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</si>
  <si>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</si>
  <si>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</si>
  <si>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</si>
  <si>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</si>
  <si>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</si>
  <si>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</si>
  <si>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</si>
  <si>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</si>
  <si>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</si>
  <si>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</si>
  <si>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</si>
  <si>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</si>
  <si>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</si>
  <si>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</si>
  <si>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</si>
  <si>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</si>
  <si>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</si>
  <si>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</si>
  <si>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</si>
  <si>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</si>
  <si>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</si>
  <si>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</si>
  <si>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</si>
  <si>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</si>
  <si>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</si>
  <si>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</si>
  <si>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</si>
  <si>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</si>
  <si>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</si>
  <si>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</si>
  <si>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</si>
  <si>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</si>
  <si>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</si>
  <si>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</si>
  <si>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</si>
  <si>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</si>
  <si>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</si>
  <si>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</si>
  <si>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</si>
  <si>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</si>
  <si>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</si>
  <si>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</si>
  <si>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</si>
  <si>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</si>
  <si>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</si>
  <si>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</si>
  <si>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</si>
  <si>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</si>
  <si>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</si>
  <si>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</si>
  <si>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</si>
  <si>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</si>
  <si>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</si>
  <si>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</si>
  <si>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</si>
  <si>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</si>
  <si>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</si>
  <si>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</si>
  <si>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</si>
  <si>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</si>
  <si>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</si>
  <si>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</si>
  <si>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</si>
  <si>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</si>
  <si>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</si>
  <si>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</si>
  <si>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</si>
  <si>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</si>
  <si>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</si>
  <si>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</si>
  <si>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</si>
  <si>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</si>
  <si>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</si>
  <si>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</si>
  <si>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</si>
  <si>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</si>
  <si>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</si>
  <si>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</si>
  <si>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</si>
  <si>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</si>
  <si>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</si>
  <si>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</si>
  <si>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</si>
  <si>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</si>
  <si>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</si>
  <si>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</si>
  <si>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</si>
  <si>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</si>
  <si>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</si>
  <si>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</si>
  <si>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</si>
  <si>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</si>
  <si>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</si>
  <si>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</si>
  <si>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</si>
  <si>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</si>
  <si>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</si>
  <si>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</si>
  <si>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</si>
  <si>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</si>
  <si>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</si>
  <si>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</si>
  <si>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</si>
  <si>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</si>
  <si>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</si>
  <si>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</si>
  <si>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</si>
  <si>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</si>
  <si>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</si>
  <si>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</si>
  <si>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</si>
  <si>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</si>
  <si>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</si>
  <si>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</si>
  <si>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</si>
  <si>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</si>
  <si>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</si>
  <si>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</si>
  <si>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</si>
  <si>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</si>
  <si>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</si>
  <si>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</si>
  <si>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</si>
  <si>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</si>
  <si>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</si>
  <si>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</si>
  <si>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</si>
  <si>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</si>
  <si>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</si>
  <si>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</si>
  <si>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</si>
  <si>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</si>
  <si>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</si>
  <si>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</si>
  <si>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</si>
  <si>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</si>
  <si>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</si>
  <si>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</si>
  <si>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</si>
  <si>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</si>
  <si>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</si>
  <si>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</si>
  <si>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</si>
  <si>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</si>
  <si>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</si>
  <si>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</si>
  <si>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</si>
  <si>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</si>
  <si>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</si>
  <si>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</si>
  <si>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</si>
  <si>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</si>
  <si>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</si>
  <si>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</si>
  <si>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</si>
  <si>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</si>
  <si>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</si>
  <si>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</si>
  <si>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</si>
  <si>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</si>
  <si>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</si>
  <si>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</si>
  <si>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</si>
  <si>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</si>
  <si>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</si>
  <si>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</si>
  <si>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</si>
  <si>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</si>
  <si>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</si>
  <si>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</si>
  <si>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</si>
  <si>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</si>
  <si>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</si>
  <si>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</si>
  <si>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</si>
  <si>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</si>
  <si>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</si>
  <si>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</si>
  <si>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</si>
  <si>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</si>
  <si>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</si>
  <si>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</si>
  <si>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</si>
  <si>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</si>
  <si>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</si>
  <si>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</si>
  <si>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</si>
  <si>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</si>
  <si>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</si>
  <si>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</si>
  <si>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</si>
  <si>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</si>
  <si>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</si>
  <si>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</si>
  <si>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</si>
  <si>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</si>
  <si>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</si>
  <si>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</si>
  <si>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</si>
  <si>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</si>
  <si>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</si>
  <si>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</si>
  <si>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</si>
  <si>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</si>
  <si>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</si>
  <si>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</si>
  <si>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</si>
  <si>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</si>
  <si>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</si>
  <si>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</si>
  <si>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</si>
  <si>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</si>
  <si>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</si>
  <si>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</si>
  <si>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</si>
  <si>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</si>
  <si>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</si>
  <si>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</si>
  <si>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</si>
  <si>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</si>
  <si>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</si>
  <si>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</si>
  <si>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</si>
  <si>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</si>
  <si>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</si>
  <si>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</si>
  <si>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</si>
  <si>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</si>
  <si>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</si>
  <si>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</si>
  <si>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</si>
  <si>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</si>
  <si>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</si>
  <si>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</si>
  <si>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</si>
  <si>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</si>
  <si>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</si>
  <si>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</si>
  <si>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</si>
  <si>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</si>
  <si>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</si>
  <si>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</si>
  <si>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</si>
  <si>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</si>
  <si>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</si>
  <si>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</si>
  <si>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</si>
  <si>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</si>
  <si>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</si>
  <si>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</si>
  <si>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</si>
  <si>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</si>
  <si>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</si>
  <si>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</si>
  <si>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</si>
  <si>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</si>
  <si>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</si>
  <si>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</si>
  <si>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</si>
  <si>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</si>
  <si>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</si>
  <si>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</si>
  <si>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</si>
  <si>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</si>
  <si>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</si>
  <si>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</si>
  <si>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</si>
  <si>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</si>
  <si>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</si>
  <si>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</si>
  <si>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</si>
  <si>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</si>
  <si>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</si>
  <si>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</si>
  <si>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</si>
  <si>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</si>
  <si>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</si>
  <si>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</si>
  <si>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</si>
  <si>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</si>
  <si>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</si>
  <si>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</si>
  <si>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</si>
  <si>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</si>
  <si>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</si>
  <si>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</si>
  <si>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</si>
  <si>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</si>
  <si>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</si>
  <si>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</si>
  <si>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</si>
  <si>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</si>
  <si>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</si>
  <si>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</si>
  <si>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</si>
  <si>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</si>
  <si>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</si>
  <si>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</si>
  <si>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</si>
  <si>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</si>
  <si>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</si>
  <si>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</si>
  <si>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</si>
  <si>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</si>
  <si>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</si>
  <si>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</si>
  <si>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</si>
  <si>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</si>
  <si>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</si>
  <si>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</si>
  <si>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</si>
  <si>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</si>
  <si>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</si>
  <si>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</si>
  <si>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</si>
  <si>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</si>
  <si>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</si>
  <si>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</si>
  <si>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</si>
  <si>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</si>
  <si>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</si>
  <si>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</si>
  <si>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</si>
  <si>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</si>
  <si>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</si>
  <si>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</si>
  <si>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</si>
  <si>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</si>
  <si>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</si>
  <si>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</si>
  <si>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</si>
  <si>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</si>
  <si>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</si>
  <si>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</si>
  <si>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</si>
  <si>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</si>
  <si>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</si>
  <si>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</si>
  <si>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</si>
  <si>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</si>
  <si>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</si>
  <si>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</si>
  <si>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</si>
  <si>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</si>
  <si>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</si>
  <si>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</si>
  <si>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</si>
  <si>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</si>
  <si>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</si>
  <si>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</si>
  <si>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</si>
  <si>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</si>
  <si>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</si>
  <si>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</si>
  <si>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</si>
  <si>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</si>
  <si>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</si>
  <si>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</si>
  <si>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</si>
  <si>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</si>
  <si>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</si>
  <si>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</si>
  <si>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</si>
  <si>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</si>
  <si>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</si>
  <si>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</si>
  <si>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</si>
  <si>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</si>
  <si>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</si>
  <si>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</si>
  <si>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</si>
  <si>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</si>
  <si>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</si>
  <si>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</si>
  <si>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</si>
  <si>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</si>
  <si>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</si>
  <si>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</si>
  <si>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</si>
  <si>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</si>
  <si>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</si>
  <si>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</si>
  <si>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</si>
  <si>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</si>
  <si>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</si>
  <si>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</si>
  <si>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</si>
  <si>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</si>
  <si>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</si>
  <si>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</si>
  <si>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</si>
  <si>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</si>
  <si>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</si>
  <si>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</si>
  <si>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</si>
  <si>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</si>
  <si>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</si>
  <si>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</si>
  <si>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</si>
  <si>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</si>
  <si>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</si>
  <si>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</si>
  <si>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</si>
  <si>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</si>
  <si>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</si>
  <si>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</si>
  <si>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</si>
  <si>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</si>
  <si>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</si>
  <si>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</si>
  <si>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</si>
  <si>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</si>
  <si>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</si>
  <si>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</si>
  <si>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</si>
  <si>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</si>
  <si>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</si>
  <si>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</si>
  <si>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</si>
  <si>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</si>
  <si>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</si>
  <si>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</si>
  <si>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</si>
  <si>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</si>
  <si>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</si>
  <si>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</si>
  <si>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</si>
  <si>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</si>
  <si>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</si>
  <si>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</si>
  <si>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</si>
  <si>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</si>
  <si>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</si>
  <si>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</si>
  <si>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</si>
  <si>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</si>
  <si>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</si>
  <si>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</si>
  <si>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</si>
  <si>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</si>
  <si>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</si>
  <si>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</si>
  <si>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</si>
  <si>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</si>
  <si>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</si>
  <si>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</si>
  <si>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</si>
  <si>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</si>
  <si>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</si>
  <si>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</si>
  <si>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</si>
  <si>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</si>
  <si>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</si>
  <si>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</si>
  <si>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</si>
  <si>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</si>
  <si>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</si>
  <si>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</si>
  <si>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</si>
  <si>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</si>
  <si>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</si>
  <si>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</si>
  <si>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</si>
  <si>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</si>
  <si>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</si>
  <si>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</si>
  <si>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</si>
  <si>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</si>
  <si>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</si>
  <si>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</si>
  <si>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</si>
  <si>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</si>
  <si>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</si>
  <si>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</si>
  <si>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</si>
  <si>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</si>
  <si>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</si>
  <si>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</si>
  <si>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</si>
  <si>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</si>
  <si>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</si>
  <si>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</si>
  <si>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</si>
  <si>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</si>
  <si>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</si>
  <si>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</si>
  <si>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</si>
  <si>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</si>
  <si>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</si>
  <si>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</si>
  <si>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</si>
  <si>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</si>
  <si>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</si>
  <si>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</si>
  <si>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</si>
  <si>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</si>
  <si>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</si>
  <si>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</si>
  <si>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</si>
  <si>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</si>
  <si>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</si>
  <si>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</si>
  <si>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</si>
  <si>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</si>
  <si>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</si>
  <si>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</si>
  <si>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</si>
  <si>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</si>
  <si>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</si>
  <si>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</si>
  <si>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</si>
  <si>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</si>
  <si>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</si>
  <si>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</si>
  <si>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</si>
  <si>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</si>
  <si>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</si>
  <si>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</si>
  <si>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</si>
  <si>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</si>
  <si>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</si>
  <si>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</si>
  <si>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</si>
  <si>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</si>
  <si>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</si>
  <si>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</si>
  <si>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</si>
  <si>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</si>
  <si>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</si>
  <si>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</si>
  <si>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</si>
  <si>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</si>
  <si>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</si>
  <si>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</si>
  <si>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</si>
  <si>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</si>
  <si>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</si>
  <si>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</si>
  <si>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</si>
  <si>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</si>
  <si>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</si>
  <si>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</si>
  <si>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</si>
  <si>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</si>
  <si>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</si>
  <si>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</si>
  <si>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</si>
  <si>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</si>
  <si>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</si>
  <si>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</si>
  <si>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</si>
  <si>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</si>
  <si>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</si>
  <si>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</si>
  <si>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</si>
  <si>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</si>
  <si>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</si>
  <si>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</si>
  <si>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</si>
  <si>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</si>
  <si>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</si>
  <si>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</si>
  <si>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</si>
  <si>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</si>
  <si>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</si>
  <si>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</si>
  <si>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</si>
  <si>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</si>
  <si>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</si>
  <si>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</si>
  <si>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</si>
  <si>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</si>
  <si>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</si>
  <si>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</si>
  <si>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</si>
  <si>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</si>
  <si>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</si>
  <si>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</si>
  <si>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</si>
  <si>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</si>
  <si>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</si>
  <si>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</si>
  <si>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</si>
  <si>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</si>
  <si>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</si>
  <si>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</si>
  <si>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</si>
  <si>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</si>
  <si>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</si>
  <si>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</si>
  <si>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</si>
  <si>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</si>
  <si>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</si>
  <si>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</si>
  <si>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</si>
  <si>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</si>
  <si>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</si>
  <si>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</si>
  <si>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</si>
  <si>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</si>
  <si>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</si>
  <si>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</si>
  <si>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</si>
  <si>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</si>
  <si>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</si>
  <si>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</si>
  <si>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</si>
  <si>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</si>
  <si>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</si>
  <si>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</si>
  <si>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</si>
  <si>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</si>
  <si>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</si>
  <si>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</si>
  <si>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</si>
  <si>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</si>
  <si>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</si>
  <si>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</si>
  <si>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</si>
  <si>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</si>
  <si>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</si>
  <si>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</si>
  <si>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</si>
  <si>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</si>
  <si>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</si>
  <si>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</si>
  <si>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</si>
  <si>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</si>
  <si>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</si>
  <si>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</si>
  <si>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</si>
  <si>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</si>
  <si>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</si>
  <si>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</si>
  <si>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</si>
  <si>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</si>
  <si>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</si>
  <si>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</si>
  <si>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</si>
  <si>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</si>
  <si>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</si>
  <si>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</si>
  <si>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</si>
  <si>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</si>
  <si>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</si>
  <si>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</si>
  <si>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</si>
  <si>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</si>
  <si>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</si>
  <si>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</si>
  <si>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</si>
  <si>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</si>
  <si>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</si>
  <si>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</si>
  <si>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</si>
  <si>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</si>
  <si>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</si>
  <si>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</si>
  <si>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</si>
  <si>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</si>
  <si>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</si>
  <si>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</si>
  <si>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</si>
  <si>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</si>
  <si>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</si>
  <si>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</si>
  <si>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</si>
  <si>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</si>
  <si>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</si>
  <si>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</si>
  <si>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</si>
  <si>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</si>
  <si>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</si>
  <si>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</si>
  <si>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</si>
  <si>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</si>
  <si>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</si>
  <si>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</si>
  <si>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</si>
  <si>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</si>
  <si>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</si>
  <si>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</si>
  <si>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</si>
  <si>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</si>
  <si>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</si>
  <si>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</si>
  <si>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</si>
  <si>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</si>
  <si>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</si>
  <si>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</si>
  <si>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</si>
  <si>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</si>
  <si>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</si>
  <si>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</si>
  <si>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</si>
  <si>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</si>
  <si>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</si>
  <si>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</si>
  <si>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</si>
  <si>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</si>
  <si>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</si>
  <si>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</si>
  <si>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</si>
  <si>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</si>
  <si>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</si>
  <si>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</si>
  <si>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</si>
  <si>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</si>
  <si>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</si>
  <si>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</si>
  <si>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</si>
  <si>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</si>
  <si>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</si>
  <si>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</si>
  <si>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</si>
  <si>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</si>
  <si>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</si>
  <si>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</si>
  <si>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</si>
  <si>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</si>
  <si>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</si>
  <si>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</si>
  <si>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</si>
  <si>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</si>
  <si>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</si>
  <si>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</si>
  <si>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</si>
  <si>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</si>
  <si>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</si>
  <si>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</si>
  <si>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</si>
  <si>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</si>
  <si>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</si>
  <si>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</si>
  <si>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</si>
  <si>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</si>
  <si>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</si>
  <si>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</si>
  <si>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</si>
  <si>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</si>
  <si>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</si>
  <si>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</si>
  <si>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</si>
  <si>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</si>
  <si>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</si>
  <si>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</si>
  <si>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</si>
  <si>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</si>
  <si>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</si>
  <si>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</si>
  <si>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</si>
  <si>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</si>
  <si>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</si>
  <si>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</si>
  <si>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</si>
  <si>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</si>
  <si>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</si>
  <si>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</si>
  <si>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</si>
  <si>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</si>
  <si>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</si>
  <si>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</si>
  <si>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</si>
  <si>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</si>
  <si>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</si>
  <si>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</si>
  <si>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</si>
  <si>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</si>
  <si>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</si>
  <si>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</si>
  <si>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</si>
  <si>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</si>
  <si>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</si>
  <si>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</si>
  <si>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</si>
  <si>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</si>
  <si>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</si>
  <si>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</si>
  <si>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</si>
  <si>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</si>
  <si>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</si>
  <si>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</si>
  <si>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</si>
  <si>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</si>
  <si>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</si>
  <si>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</si>
  <si>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</si>
  <si>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</si>
  <si>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</si>
  <si>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</si>
  <si>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</si>
  <si>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</si>
  <si>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</si>
  <si>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</si>
  <si>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</si>
  <si>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</si>
  <si>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</si>
  <si>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</si>
  <si>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</si>
  <si>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</si>
  <si>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</si>
  <si>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</si>
  <si>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</si>
  <si>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</si>
  <si>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</si>
  <si>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</si>
  <si>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</si>
  <si>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</si>
  <si>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</si>
  <si>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</si>
  <si>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</si>
  <si>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</si>
  <si>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</si>
  <si>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</si>
  <si>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</si>
  <si>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</si>
  <si>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</si>
  <si>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</si>
  <si>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</si>
  <si>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</si>
  <si>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</si>
  <si>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</si>
  <si>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</si>
  <si>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</si>
  <si>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</si>
  <si>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</si>
  <si>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</si>
  <si>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</si>
  <si>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</si>
  <si>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</si>
  <si>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</si>
  <si>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</si>
  <si>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</si>
  <si>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</si>
  <si>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</si>
  <si>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</si>
  <si>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</si>
  <si>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</si>
  <si>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</si>
  <si>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</si>
  <si>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</si>
  <si>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</si>
  <si>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</si>
  <si>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</si>
  <si>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</si>
  <si>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</si>
  <si>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</si>
  <si>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</si>
  <si>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</si>
  <si>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</si>
  <si>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</si>
  <si>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</si>
  <si>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</si>
  <si>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</si>
  <si>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</si>
  <si>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</si>
  <si>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</si>
  <si>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</si>
  <si>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</si>
  <si>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</si>
  <si>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</si>
  <si>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</si>
  <si>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</si>
  <si>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</si>
  <si>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</si>
  <si>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</si>
  <si>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</si>
  <si>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</si>
  <si>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</si>
  <si>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</si>
  <si>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</si>
  <si>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</si>
  <si>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</si>
  <si>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</si>
  <si>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</si>
  <si>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</si>
  <si>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</si>
  <si>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</si>
  <si>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</si>
  <si>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</si>
  <si>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</si>
  <si>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</si>
  <si>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</si>
  <si>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</si>
  <si>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</si>
  <si>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</si>
  <si>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</si>
  <si>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</si>
  <si>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</si>
  <si>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</si>
  <si>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</si>
  <si>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</si>
  <si>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</si>
  <si>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</si>
  <si>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</si>
  <si>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</si>
  <si>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</si>
  <si>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</si>
  <si>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</si>
  <si>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</si>
  <si>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</si>
  <si>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</si>
  <si>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</si>
  <si>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</si>
  <si>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</si>
  <si>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</si>
  <si>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</si>
  <si>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</si>
  <si>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</si>
  <si>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</si>
  <si>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</si>
  <si>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</si>
  <si>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</si>
  <si>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</si>
  <si>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</si>
  <si>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</si>
  <si>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</si>
  <si>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</si>
  <si>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</si>
  <si>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</si>
  <si>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</si>
  <si>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</si>
  <si>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</si>
  <si>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</si>
  <si>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</si>
  <si>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</si>
  <si>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</si>
  <si>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</si>
  <si>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</si>
  <si>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</si>
  <si>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</si>
  <si>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</si>
  <si>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</si>
  <si>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</si>
  <si>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</si>
  <si>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</si>
  <si>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</si>
  <si>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</si>
  <si>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</si>
  <si>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</si>
  <si>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</si>
  <si>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</si>
  <si>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</si>
  <si>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</si>
  <si>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</si>
  <si>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</si>
  <si>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</si>
  <si>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</si>
  <si>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</si>
  <si>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</si>
  <si>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</si>
  <si>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</si>
  <si>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</si>
  <si>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</si>
  <si>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</si>
  <si>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</si>
  <si>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</si>
  <si>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</si>
  <si>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</si>
  <si>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</si>
  <si>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</si>
  <si>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</si>
  <si>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</si>
  <si>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</si>
  <si>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</si>
  <si>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</si>
  <si>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</si>
  <si>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</si>
  <si>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</si>
  <si>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</si>
  <si>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</si>
  <si>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</si>
  <si>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</si>
  <si>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</si>
  <si>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</si>
  <si>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</si>
  <si>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</si>
  <si>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</si>
  <si>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</si>
  <si>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</si>
  <si>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</si>
  <si>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</si>
  <si>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</si>
  <si>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</si>
  <si>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</si>
  <si>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</si>
  <si>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</si>
  <si>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</si>
  <si>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</si>
  <si>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</si>
  <si>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</si>
  <si>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</si>
  <si>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</si>
  <si>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</si>
  <si>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</si>
  <si>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</si>
  <si>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</si>
  <si>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</si>
  <si>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</si>
  <si>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</si>
  <si>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</si>
  <si>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</si>
  <si>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</si>
  <si>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</si>
  <si>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</si>
  <si>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</si>
  <si>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</si>
  <si>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</si>
  <si>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</si>
  <si>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</si>
  <si>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</si>
  <si>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</si>
  <si>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</si>
  <si>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</si>
  <si>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</si>
  <si>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</si>
  <si>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</si>
  <si>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</si>
  <si>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</si>
  <si>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</si>
  <si>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</si>
  <si>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</si>
  <si>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</si>
  <si>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</si>
  <si>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</si>
  <si>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</si>
  <si>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</si>
  <si>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</si>
  <si>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</si>
  <si>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</si>
  <si>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</si>
  <si>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</si>
  <si>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</si>
  <si>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</si>
  <si>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</si>
  <si>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</si>
  <si>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</si>
  <si>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</si>
  <si>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</si>
  <si>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</si>
  <si>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</si>
  <si>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</si>
  <si>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</si>
  <si>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</si>
  <si>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</si>
  <si>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</si>
  <si>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</si>
  <si>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</si>
  <si>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</si>
  <si>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</si>
  <si>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</si>
  <si>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</si>
  <si>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</si>
  <si>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</si>
  <si>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</si>
  <si>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</si>
  <si>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</si>
  <si>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</si>
  <si>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</si>
  <si>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</si>
  <si>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</si>
  <si>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</si>
  <si>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</si>
  <si>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</si>
  <si>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</si>
  <si>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</si>
  <si>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</si>
  <si>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</si>
  <si>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</si>
  <si>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</si>
  <si>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</si>
  <si>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</si>
  <si>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</si>
  <si>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</si>
  <si>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</si>
  <si>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</si>
  <si>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</si>
  <si>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</si>
  <si>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</si>
  <si>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</si>
  <si>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</si>
  <si>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</si>
  <si>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</si>
  <si>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</si>
  <si>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</si>
  <si>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</si>
  <si>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</si>
  <si>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</si>
  <si>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</si>
  <si>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</si>
  <si>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</si>
  <si>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</si>
  <si>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</si>
  <si>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</si>
  <si>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</si>
  <si>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</si>
  <si>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</si>
  <si>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</si>
  <si>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</si>
  <si>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</si>
  <si>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</si>
  <si>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</si>
  <si>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</si>
  <si>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</si>
  <si>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</si>
  <si>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</si>
  <si>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</si>
  <si>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</si>
  <si>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</si>
  <si>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</si>
  <si>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</si>
  <si>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</si>
  <si>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</si>
  <si>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</si>
  <si>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</si>
  <si>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</si>
  <si>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</si>
  <si>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</si>
  <si>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</si>
  <si>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</si>
  <si>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</si>
  <si>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</si>
  <si>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</si>
  <si>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</si>
  <si>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</si>
  <si>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</si>
  <si>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</si>
  <si>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</si>
  <si>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</si>
  <si>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</si>
  <si>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</si>
  <si>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</si>
  <si>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</si>
  <si>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</si>
  <si>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</si>
  <si>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</si>
  <si>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</si>
  <si>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</si>
  <si>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</si>
  <si>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</si>
  <si>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</si>
  <si>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</si>
  <si>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</si>
  <si>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</si>
  <si>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</si>
  <si>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</si>
  <si>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</si>
  <si>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</si>
  <si>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</si>
  <si>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</si>
  <si>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</si>
  <si>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</si>
  <si>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</si>
  <si>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</si>
  <si>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</si>
  <si>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</si>
  <si>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</si>
  <si>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</si>
  <si>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</si>
  <si>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</si>
  <si>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</si>
  <si>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</si>
  <si>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</si>
  <si>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</si>
  <si>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</si>
  <si>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</si>
  <si>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</si>
  <si>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</si>
  <si>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</si>
  <si>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</si>
  <si>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</si>
  <si>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</si>
  <si>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</si>
  <si>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</si>
  <si>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</si>
  <si>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</si>
  <si>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</si>
  <si>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</si>
  <si>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</si>
  <si>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</si>
  <si>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</si>
  <si>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</si>
  <si>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</si>
  <si>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</si>
  <si>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</si>
  <si>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</si>
  <si>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</si>
  <si>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</si>
  <si>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</si>
  <si>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</si>
  <si>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</si>
  <si>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</si>
  <si>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</si>
  <si>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</si>
  <si>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</si>
  <si>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</si>
  <si>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</si>
  <si>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</si>
  <si>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</si>
  <si>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</si>
  <si>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</si>
  <si>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</si>
  <si>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</si>
  <si>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</si>
  <si>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</si>
  <si>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</si>
  <si>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</si>
  <si>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</si>
  <si>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</si>
  <si>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</si>
  <si>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</si>
  <si>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</si>
  <si>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</si>
  <si>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</si>
  <si>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</si>
  <si>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</si>
  <si>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</si>
  <si>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</si>
  <si>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</si>
  <si>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</si>
  <si>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</si>
  <si>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</si>
  <si>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</si>
  <si>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</si>
  <si>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</si>
  <si>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</si>
  <si>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</si>
  <si>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</si>
  <si>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</si>
  <si>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</si>
  <si>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</si>
  <si>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</si>
  <si>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</si>
  <si>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</si>
  <si>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</si>
  <si>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</si>
  <si>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</si>
  <si>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</si>
  <si>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</si>
  <si>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</si>
  <si>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</si>
  <si>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</si>
  <si>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</si>
  <si>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</si>
  <si>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</si>
  <si>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</si>
  <si>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</si>
  <si>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</si>
  <si>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</si>
  <si>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</si>
  <si>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</si>
  <si>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</si>
  <si>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</si>
  <si>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</si>
  <si>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</si>
  <si>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</si>
  <si>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</si>
  <si>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</si>
  <si>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</si>
  <si>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</si>
  <si>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</si>
  <si>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</si>
  <si>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</si>
  <si>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</si>
  <si>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</si>
  <si>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</si>
  <si>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</si>
  <si>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</si>
  <si>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</si>
  <si>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</si>
  <si>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</si>
  <si>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</si>
  <si>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</si>
  <si>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</si>
  <si>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</si>
  <si>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</si>
  <si>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</si>
  <si>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</si>
  <si>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</si>
  <si>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</si>
  <si>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</si>
  <si>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</si>
  <si>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</si>
  <si>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</si>
  <si>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</si>
  <si>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</si>
  <si>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</si>
  <si>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</si>
  <si>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</si>
  <si>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</si>
  <si>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</si>
  <si>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</si>
  <si>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</si>
  <si>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</si>
  <si>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</si>
  <si>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</si>
  <si>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</si>
  <si>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</si>
  <si>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</si>
  <si>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</si>
  <si>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</si>
  <si>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</si>
  <si>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</si>
  <si>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</si>
  <si>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</si>
  <si>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</si>
  <si>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</si>
  <si>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</si>
  <si>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</si>
  <si>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</si>
  <si>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</si>
  <si>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</si>
  <si>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</si>
  <si>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</si>
  <si>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</si>
  <si>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</si>
  <si>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</si>
  <si>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</si>
  <si>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</si>
  <si>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</si>
  <si>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</si>
  <si>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</si>
  <si>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</si>
  <si>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</si>
  <si>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</si>
  <si>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</si>
  <si>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</si>
  <si>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</si>
  <si>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</si>
  <si>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</si>
  <si>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</si>
  <si>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</si>
  <si>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</si>
  <si>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</si>
  <si>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</si>
  <si>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</si>
  <si>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</si>
  <si>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</si>
  <si>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</si>
  <si>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</si>
  <si>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</si>
  <si>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</si>
  <si>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</si>
  <si>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</si>
  <si>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</si>
  <si>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</si>
  <si>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</si>
  <si>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</si>
  <si>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</si>
  <si>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</si>
  <si>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</si>
  <si>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</si>
  <si>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</si>
  <si>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</si>
  <si>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</si>
  <si>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</si>
  <si>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</si>
  <si>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</si>
  <si>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</si>
  <si>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</si>
  <si>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</si>
  <si>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</si>
  <si>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</si>
  <si>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</si>
  <si>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</si>
  <si>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</si>
  <si>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</si>
  <si>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</si>
  <si>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</si>
  <si>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</si>
  <si>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</si>
  <si>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</si>
  <si>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</si>
  <si>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</si>
  <si>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</si>
  <si>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</si>
  <si>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</si>
  <si>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</si>
  <si>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</si>
  <si>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</si>
  <si>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</si>
  <si>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</si>
  <si>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</si>
  <si>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</si>
  <si>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</si>
  <si>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</si>
  <si>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</si>
  <si>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</si>
  <si>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</si>
  <si>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</si>
  <si>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</si>
  <si>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</si>
  <si>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</si>
  <si>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</si>
  <si>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</si>
  <si>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</si>
  <si>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</si>
  <si>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</si>
  <si>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</si>
  <si>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</si>
  <si>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</si>
  <si>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</si>
  <si>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</si>
  <si>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</si>
  <si>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</si>
  <si>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</si>
  <si>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</si>
  <si>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</si>
  <si>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</si>
  <si>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</si>
  <si>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</si>
  <si>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</si>
  <si>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</si>
  <si>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</si>
  <si>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</si>
  <si>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</si>
  <si>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</si>
  <si>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</si>
  <si>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</si>
  <si>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</si>
  <si>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</si>
  <si>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</si>
  <si>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</si>
  <si>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</si>
  <si>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</si>
  <si>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</si>
  <si>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</si>
  <si>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</si>
  <si>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</si>
  <si>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</si>
  <si>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</si>
  <si>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</si>
  <si>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</si>
  <si>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</si>
  <si>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</si>
  <si>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</si>
  <si>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</si>
  <si>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</si>
  <si>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</si>
  <si>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</si>
  <si>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</si>
  <si>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</si>
  <si>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</si>
  <si>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</si>
  <si>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</si>
  <si>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</si>
  <si>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</si>
  <si>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</si>
  <si>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</si>
  <si>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</si>
  <si>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</si>
  <si>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</si>
  <si>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</si>
  <si>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</si>
  <si>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</si>
  <si>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</si>
  <si>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</si>
  <si>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</si>
  <si>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</si>
  <si>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</si>
  <si>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</si>
  <si>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</si>
  <si>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</si>
  <si>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</si>
  <si>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</si>
  <si>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</si>
  <si>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</si>
  <si>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</si>
  <si>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</si>
  <si>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</si>
  <si>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</si>
  <si>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</si>
  <si>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</si>
  <si>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</si>
  <si>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</si>
  <si>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</si>
  <si>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</si>
  <si>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</si>
  <si>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</si>
  <si>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</si>
  <si>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</si>
  <si>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</si>
  <si>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</si>
  <si>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</si>
  <si>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</si>
  <si>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</si>
  <si>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</si>
  <si>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</si>
  <si>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</si>
  <si>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</si>
  <si>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</si>
  <si>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</si>
  <si>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</si>
  <si>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</si>
  <si>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</si>
  <si>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</si>
  <si>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</si>
  <si>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</si>
  <si>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</si>
  <si>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</si>
  <si>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</si>
  <si>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</si>
  <si>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</si>
  <si>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</si>
  <si>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</si>
  <si>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</si>
  <si>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</si>
  <si>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</si>
  <si>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</si>
  <si>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</si>
  <si>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</si>
  <si>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</si>
  <si>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</si>
  <si>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</si>
  <si>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</si>
  <si>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</si>
  <si>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</si>
  <si>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</si>
  <si>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</si>
  <si>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</si>
  <si>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</si>
  <si>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</si>
  <si>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</si>
  <si>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</si>
  <si>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</si>
  <si>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</si>
  <si>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</si>
  <si>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</si>
  <si>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</si>
  <si>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</si>
  <si>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</si>
  <si>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</si>
  <si>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</si>
  <si>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</si>
  <si>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</si>
  <si>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</si>
  <si>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</si>
  <si>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</si>
  <si>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</si>
  <si>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</si>
  <si>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</si>
  <si>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</si>
  <si>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</si>
  <si>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</si>
  <si>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</si>
  <si>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</si>
  <si>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</si>
  <si>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</si>
  <si>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</si>
  <si>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</si>
  <si>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</si>
  <si>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</si>
  <si>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</si>
  <si>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</si>
  <si>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</si>
  <si>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</si>
  <si>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</si>
  <si>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</si>
  <si>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</si>
  <si>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</si>
  <si>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</si>
  <si>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</si>
  <si>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</si>
  <si>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</si>
  <si>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</si>
  <si>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</si>
  <si>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</si>
  <si>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</si>
  <si>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</si>
  <si>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</si>
  <si>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</si>
  <si>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</si>
  <si>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</si>
  <si>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</si>
  <si>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</si>
  <si>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</si>
  <si>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</si>
  <si>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</si>
  <si>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</si>
  <si>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</si>
  <si>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</si>
  <si>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</si>
  <si>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</si>
  <si>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</si>
  <si>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</si>
  <si>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</si>
  <si>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</si>
  <si>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</si>
  <si>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</si>
  <si>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</si>
  <si>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</si>
  <si>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</si>
  <si>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</si>
  <si>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</si>
  <si>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</si>
  <si>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</si>
  <si>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</si>
  <si>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</si>
  <si>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</si>
  <si>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</si>
  <si>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</si>
  <si>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</si>
  <si>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</si>
  <si>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</si>
  <si>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</si>
  <si>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</si>
  <si>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</si>
  <si>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</si>
  <si>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</si>
  <si>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</si>
  <si>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</si>
  <si>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</si>
  <si>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</si>
  <si>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</si>
  <si>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</si>
  <si>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</si>
  <si>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</si>
  <si>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</si>
  <si>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</si>
  <si>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</si>
  <si>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</si>
  <si>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</si>
  <si>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</si>
  <si>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</si>
  <si>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</si>
  <si>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</si>
  <si>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</si>
  <si>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</si>
  <si>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</si>
  <si>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</si>
  <si>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</si>
  <si>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</si>
  <si>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</si>
  <si>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</si>
  <si>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</si>
  <si>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</si>
  <si>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</si>
  <si>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</si>
  <si>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</si>
  <si>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</si>
  <si>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</si>
  <si>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</si>
  <si>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</si>
  <si>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</si>
  <si>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</si>
  <si>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</si>
  <si>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</si>
  <si>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</si>
  <si>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</si>
  <si>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</si>
  <si>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</si>
  <si>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</si>
  <si>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</si>
  <si>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</si>
  <si>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</si>
  <si>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</si>
  <si>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</si>
  <si>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</si>
  <si>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</si>
  <si>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</si>
  <si>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</si>
  <si>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</si>
  <si>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</si>
  <si>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</si>
  <si>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</si>
  <si>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</si>
  <si>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</si>
  <si>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</si>
  <si>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</si>
  <si>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</si>
  <si>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</si>
  <si>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</si>
  <si>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</si>
  <si>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</si>
  <si>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</si>
  <si>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</si>
  <si>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</si>
  <si>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</si>
  <si>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</si>
  <si>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</si>
  <si>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</si>
  <si>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</si>
  <si>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</si>
  <si>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</si>
  <si>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</si>
  <si>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</si>
  <si>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</si>
  <si>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</si>
  <si>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</si>
  <si>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</si>
  <si>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</si>
  <si>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</si>
  <si>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</si>
  <si>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</si>
  <si>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</si>
  <si>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</si>
  <si>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</si>
  <si>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</si>
  <si>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</si>
  <si>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</si>
  <si>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</si>
  <si>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</si>
  <si>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</si>
  <si>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</si>
  <si>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</si>
  <si>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</si>
  <si>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</si>
  <si>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</si>
  <si>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</si>
  <si>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</si>
  <si>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</si>
  <si>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</si>
  <si>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</si>
  <si>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</si>
  <si>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</si>
  <si>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</si>
  <si>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</si>
  <si>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</si>
  <si>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</si>
  <si>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</si>
  <si>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</si>
  <si>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</si>
  <si>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</si>
  <si>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</si>
  <si>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</si>
  <si>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</si>
  <si>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</si>
  <si>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</si>
  <si>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</si>
  <si>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</si>
  <si>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</si>
  <si>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</si>
  <si>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</si>
  <si>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</si>
  <si>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</si>
  <si>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</si>
  <si>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</si>
  <si>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</si>
  <si>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</si>
  <si>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</si>
  <si>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</si>
  <si>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</si>
  <si>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</si>
  <si>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</si>
  <si>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</si>
  <si>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</si>
  <si>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</si>
  <si>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</si>
  <si>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</si>
  <si>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</si>
  <si>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</si>
  <si>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</si>
  <si>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</si>
  <si>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</si>
  <si>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</si>
  <si>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</si>
  <si>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</si>
  <si>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</si>
  <si>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</si>
  <si>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</si>
  <si>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</si>
  <si>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</si>
  <si>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</si>
  <si>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</si>
  <si>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</si>
  <si>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</si>
  <si>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</si>
  <si>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</si>
  <si>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</si>
  <si>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</si>
  <si>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</si>
  <si>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</si>
  <si>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</si>
  <si>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</si>
  <si>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</si>
  <si>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</si>
  <si>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</si>
  <si>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</si>
  <si>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</si>
  <si>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</si>
  <si>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</si>
  <si>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</si>
  <si>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</si>
  <si>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</si>
  <si>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</si>
  <si>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</si>
  <si>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</si>
  <si>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</si>
  <si>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</si>
  <si>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</si>
  <si>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</si>
  <si>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</si>
  <si>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</si>
  <si>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</si>
  <si>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</si>
  <si>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</si>
  <si>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</si>
  <si>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</si>
  <si>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</si>
  <si>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</si>
  <si>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</si>
  <si>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</si>
  <si>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</si>
  <si>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</si>
  <si>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</si>
  <si>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</si>
  <si>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</si>
  <si>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</si>
  <si>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</si>
  <si>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</si>
  <si>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</si>
  <si>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</si>
  <si>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</si>
  <si>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</si>
  <si>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</si>
  <si>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</si>
  <si>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</si>
  <si>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</si>
  <si>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</si>
  <si>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</si>
  <si>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</si>
  <si>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</si>
  <si>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</si>
  <si>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</si>
  <si>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</si>
  <si>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</si>
  <si>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</si>
  <si>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</si>
  <si>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</si>
  <si>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</si>
  <si>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</si>
  <si>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</si>
  <si>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</si>
  <si>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</si>
  <si>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</si>
  <si>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</si>
  <si>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</si>
  <si>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</si>
  <si>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</si>
  <si>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</si>
  <si>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</si>
  <si>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</si>
  <si>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</si>
  <si>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</si>
  <si>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</si>
  <si>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</si>
  <si>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</si>
  <si>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</si>
  <si>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</si>
  <si>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</si>
  <si>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</si>
  <si>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</si>
  <si>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</si>
  <si>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</si>
  <si>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</si>
  <si>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</si>
  <si>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</si>
  <si>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</si>
  <si>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</si>
  <si>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</si>
  <si>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</si>
  <si>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</si>
  <si>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</si>
  <si>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</si>
  <si>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</si>
  <si>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</si>
  <si>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</si>
  <si>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</si>
  <si>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</si>
  <si>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</si>
  <si>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</si>
  <si>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</si>
  <si>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</si>
  <si>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</si>
  <si>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</si>
  <si>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</si>
  <si>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</si>
  <si>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</si>
  <si>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</si>
  <si>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</si>
  <si>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</si>
  <si>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</si>
  <si>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</si>
  <si>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</si>
  <si>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</si>
  <si>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</si>
  <si>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</si>
  <si>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</si>
  <si>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</si>
  <si>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</si>
  <si>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</si>
  <si>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</si>
  <si>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</si>
  <si>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</si>
  <si>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</si>
  <si>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</si>
  <si>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</si>
  <si>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</si>
  <si>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</si>
  <si>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</si>
  <si>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</si>
  <si>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</si>
  <si>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</si>
  <si>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</si>
  <si>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</si>
  <si>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</si>
  <si>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</si>
  <si>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</si>
  <si>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</si>
  <si>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</si>
  <si>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</si>
  <si>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</si>
  <si>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</si>
  <si>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</si>
  <si>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</si>
  <si>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</si>
  <si>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</si>
  <si>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</si>
  <si>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</si>
  <si>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</si>
  <si>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</si>
  <si>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</si>
  <si>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</si>
  <si>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</si>
  <si>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</si>
  <si>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</si>
  <si>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</si>
  <si>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</si>
  <si>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</si>
  <si>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</si>
  <si>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</si>
  <si>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</si>
  <si>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</si>
  <si>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</si>
  <si>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</si>
  <si>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</si>
  <si>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</si>
  <si>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</si>
  <si>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</si>
  <si>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</si>
  <si>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</si>
  <si>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</si>
  <si>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</si>
  <si>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</si>
  <si>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</si>
  <si>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</si>
  <si>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</si>
  <si>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</si>
  <si>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</si>
  <si>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</si>
  <si>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</si>
  <si>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</si>
  <si>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</si>
  <si>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</si>
  <si>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</si>
  <si>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</si>
  <si>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</si>
  <si>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</si>
  <si>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</si>
  <si>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</si>
  <si>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</si>
  <si>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</si>
  <si>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</si>
  <si>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</si>
  <si>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</si>
  <si>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</si>
  <si>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</si>
  <si>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</si>
  <si>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</si>
  <si>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</si>
  <si>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</si>
  <si>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</si>
  <si>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</si>
  <si>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</si>
  <si>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</si>
  <si>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</si>
  <si>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</si>
  <si>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</si>
  <si>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</si>
  <si>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</si>
  <si>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</si>
  <si>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</si>
  <si>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</si>
  <si>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</si>
  <si>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</si>
  <si>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</si>
  <si>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</si>
  <si>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</si>
  <si>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</si>
  <si>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</si>
  <si>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</si>
  <si>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</si>
  <si>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</si>
  <si>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</si>
  <si>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</si>
  <si>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</si>
  <si>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</si>
  <si>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</si>
  <si>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</si>
  <si>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</si>
  <si>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</si>
  <si>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</si>
  <si>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</si>
  <si>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</si>
  <si>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</si>
  <si>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</si>
  <si>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</si>
  <si>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</si>
  <si>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</si>
  <si>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</si>
  <si>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</si>
  <si>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</si>
  <si>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</si>
  <si>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</si>
  <si>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</si>
  <si>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</si>
  <si>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</si>
  <si>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</si>
  <si>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</si>
  <si>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</si>
  <si>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</si>
  <si>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</si>
  <si>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</si>
  <si>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</si>
  <si>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</si>
  <si>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</si>
  <si>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</si>
  <si>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</si>
  <si>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</si>
  <si>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</si>
  <si>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</si>
  <si>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</si>
  <si>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</si>
  <si>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</si>
  <si>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</si>
  <si>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</si>
  <si>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</si>
  <si>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</si>
  <si>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</si>
  <si>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</si>
  <si>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</si>
  <si>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</si>
  <si>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</si>
  <si>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</si>
  <si>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</si>
  <si>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</si>
  <si>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</si>
  <si>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</si>
  <si>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</si>
  <si>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</si>
  <si>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</si>
  <si>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</si>
  <si>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</si>
  <si>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</si>
  <si>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</si>
  <si>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</si>
  <si>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</si>
  <si>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</si>
  <si>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</si>
  <si>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</si>
  <si>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</si>
  <si>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</si>
  <si>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</si>
  <si>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</si>
  <si>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</si>
  <si>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</si>
  <si>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</si>
  <si>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</si>
  <si>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</si>
  <si>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</si>
  <si>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</si>
  <si>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</si>
  <si>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</si>
  <si>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</si>
  <si>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</si>
  <si>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</si>
  <si>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</si>
  <si>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</si>
  <si>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</si>
  <si>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</si>
  <si>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</si>
  <si>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</si>
  <si>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</si>
  <si>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</si>
  <si>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</si>
  <si>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</si>
  <si>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</si>
  <si>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</si>
  <si>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</si>
  <si>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</si>
  <si>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</si>
  <si>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</si>
  <si>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</si>
  <si>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</si>
  <si>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</si>
  <si>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</si>
  <si>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</si>
  <si>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</si>
  <si>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</si>
  <si>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</si>
  <si>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</si>
  <si>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</si>
  <si>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</si>
  <si>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</si>
  <si>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</si>
  <si>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</si>
  <si>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</si>
  <si>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</si>
  <si>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</si>
  <si>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</si>
  <si>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</si>
  <si>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</si>
  <si>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</si>
  <si>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</si>
  <si>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</si>
  <si>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</si>
  <si>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</si>
  <si>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</si>
  <si>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</si>
  <si>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</si>
  <si>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</si>
  <si>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</si>
  <si>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</si>
  <si>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</si>
  <si>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</si>
  <si>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</si>
  <si>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</si>
  <si>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</si>
  <si>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</si>
  <si>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</si>
  <si>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</si>
  <si>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</si>
  <si>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</si>
  <si>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</si>
  <si>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</si>
  <si>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</si>
  <si>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</si>
  <si>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</si>
  <si>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</si>
  <si>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</si>
  <si>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</si>
  <si>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</si>
  <si>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</si>
  <si>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</si>
  <si>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</si>
  <si>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</si>
  <si>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</si>
  <si>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</si>
  <si>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</si>
  <si>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</si>
  <si>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</si>
  <si>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</si>
  <si>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</si>
  <si>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</si>
  <si>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</si>
  <si>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</si>
  <si>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</si>
  <si>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</si>
  <si>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</si>
  <si>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</si>
  <si>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</si>
  <si>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</si>
  <si>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</si>
  <si>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</si>
  <si>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</si>
  <si>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</si>
  <si>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</si>
  <si>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</si>
  <si>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</si>
  <si>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</si>
  <si>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</si>
  <si>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</si>
  <si>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</si>
  <si>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</si>
  <si>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</si>
  <si>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</si>
  <si>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</si>
  <si>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</si>
  <si>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</si>
  <si>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</si>
  <si>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</si>
  <si>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</si>
  <si>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</si>
  <si>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</si>
  <si>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</si>
  <si>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</si>
  <si>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</si>
  <si>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</si>
  <si>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</si>
  <si>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</si>
  <si>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</si>
  <si>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</si>
  <si>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</si>
  <si>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</si>
  <si>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</si>
  <si>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</si>
  <si>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</si>
  <si>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</si>
  <si>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</si>
  <si>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</si>
  <si>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</si>
  <si>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</si>
  <si>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</si>
  <si>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</si>
  <si>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</si>
  <si>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</si>
  <si>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</si>
  <si>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</si>
  <si>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</si>
  <si>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</si>
  <si>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</si>
  <si>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</si>
  <si>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</si>
  <si>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</si>
  <si>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</si>
  <si>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</si>
  <si>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</si>
  <si>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</si>
  <si>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</si>
  <si>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</si>
  <si>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</si>
  <si>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</si>
  <si>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</si>
  <si>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</si>
  <si>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</si>
  <si>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</si>
  <si>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</si>
  <si>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</si>
  <si>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</si>
  <si>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</si>
  <si>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</si>
  <si>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</si>
  <si>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</si>
  <si>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</si>
  <si>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</si>
  <si>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</si>
  <si>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</si>
  <si>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</si>
  <si>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</si>
  <si>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</si>
  <si>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</si>
  <si>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</si>
  <si>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</si>
  <si>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</si>
  <si>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</si>
  <si>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</si>
  <si>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</si>
  <si>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</si>
  <si>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</si>
  <si>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</si>
  <si>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</si>
  <si>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</si>
  <si>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</si>
  <si>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</si>
  <si>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</si>
  <si>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</si>
  <si>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</si>
  <si>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</si>
  <si>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</si>
  <si>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</si>
  <si>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</si>
  <si>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</si>
  <si>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</si>
  <si>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</si>
  <si>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</si>
  <si>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</si>
  <si>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</si>
  <si>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</si>
  <si>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</si>
  <si>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</si>
  <si>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</si>
  <si>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</si>
  <si>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</si>
  <si>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</si>
  <si>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</si>
  <si>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</si>
  <si>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</si>
  <si>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</si>
  <si>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</si>
  <si>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</si>
  <si>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</si>
  <si>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</si>
  <si>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</si>
  <si>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</si>
  <si>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</si>
  <si>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</si>
  <si>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</si>
  <si>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</si>
  <si>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</si>
  <si>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</si>
  <si>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</si>
  <si>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</si>
  <si>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</si>
  <si>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</si>
  <si>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</si>
  <si>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</si>
  <si>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</si>
  <si>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</si>
  <si>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</si>
  <si>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</si>
  <si>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</si>
  <si>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</si>
  <si>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</si>
  <si>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</si>
  <si>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</si>
  <si>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</si>
  <si>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</si>
  <si>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</si>
  <si>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</si>
  <si>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</si>
  <si>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</si>
  <si>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</si>
  <si>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</si>
  <si>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</si>
  <si>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</si>
  <si>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</si>
  <si>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</si>
  <si>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</si>
  <si>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</si>
  <si>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</si>
  <si>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</si>
  <si>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</si>
  <si>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</si>
  <si>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</si>
  <si>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</si>
  <si>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</si>
  <si>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</si>
  <si>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</si>
  <si>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</si>
  <si>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</si>
  <si>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</si>
  <si>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</si>
  <si>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</si>
  <si>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</si>
  <si>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</si>
  <si>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</si>
  <si>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</si>
  <si>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</si>
  <si>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</si>
  <si>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</si>
  <si>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</si>
  <si>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</si>
  <si>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</si>
  <si>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</si>
  <si>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</si>
  <si>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</si>
  <si>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</si>
  <si>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</si>
  <si>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</si>
  <si>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</si>
  <si>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</si>
  <si>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</si>
  <si>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</si>
  <si>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</si>
  <si>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</si>
  <si>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</si>
  <si>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</si>
  <si>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</si>
  <si>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</si>
  <si>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</si>
  <si>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</si>
  <si>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</si>
  <si>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</si>
  <si>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</si>
  <si>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</si>
  <si>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</si>
  <si>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</si>
  <si>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</si>
  <si>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</si>
  <si>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</si>
  <si>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</si>
  <si>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</si>
  <si>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</si>
  <si>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</si>
  <si>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</si>
  <si>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</si>
  <si>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</si>
  <si>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</si>
  <si>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</si>
  <si>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</si>
  <si>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</si>
  <si>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</si>
  <si>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</si>
  <si>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</si>
  <si>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</si>
  <si>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</si>
  <si>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</si>
  <si>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</si>
  <si>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</si>
  <si>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</si>
  <si>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</si>
  <si>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</si>
  <si>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</si>
  <si>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</si>
  <si>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</si>
  <si>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</si>
  <si>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</si>
  <si>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</si>
  <si>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</si>
  <si>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</si>
  <si>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</si>
  <si>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</si>
  <si>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</si>
  <si>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</si>
  <si>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</si>
  <si>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</si>
  <si>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</si>
  <si>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</si>
  <si>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</si>
  <si>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</si>
  <si>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</si>
  <si>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</si>
  <si>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</si>
  <si>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</si>
  <si>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</si>
  <si>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</si>
  <si>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</si>
  <si>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</si>
  <si>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</si>
  <si>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</si>
  <si>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</si>
  <si>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</si>
  <si>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</si>
  <si>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</si>
  <si>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</si>
  <si>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</si>
  <si>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</si>
  <si>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</si>
  <si>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</si>
  <si>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</si>
  <si>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</si>
  <si>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</si>
  <si>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</si>
  <si>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</si>
  <si>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</si>
  <si>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</si>
  <si>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</si>
  <si>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</si>
  <si>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</si>
  <si>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</si>
  <si>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</si>
  <si>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</si>
  <si>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</si>
  <si>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</si>
  <si>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</si>
  <si>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</si>
  <si>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</si>
  <si>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</si>
  <si>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</si>
  <si>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</si>
  <si>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</si>
  <si>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</si>
  <si>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</si>
  <si>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</si>
  <si>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</si>
  <si>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</si>
  <si>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</si>
  <si>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</si>
  <si>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</si>
  <si>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</si>
  <si>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</si>
  <si>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</si>
  <si>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</si>
  <si>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</si>
  <si>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</si>
  <si>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</si>
  <si>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</si>
  <si>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</si>
  <si>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</si>
  <si>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</si>
  <si>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</si>
  <si>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</si>
  <si>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</si>
  <si>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</si>
  <si>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</si>
  <si>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</si>
  <si>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</si>
  <si>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</si>
  <si>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</si>
  <si>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</si>
  <si>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</si>
  <si>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</si>
  <si>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</si>
  <si>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</si>
  <si>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</si>
  <si>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</si>
  <si>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</si>
  <si>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</si>
  <si>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</si>
  <si>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</si>
  <si>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</si>
  <si>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</si>
  <si>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</si>
  <si>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</si>
  <si>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</si>
  <si>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</si>
  <si>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</si>
  <si>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</si>
  <si>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</si>
  <si>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</si>
  <si>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</si>
  <si>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</si>
  <si>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</si>
  <si>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</si>
  <si>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</si>
  <si>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</si>
  <si>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</si>
  <si>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</si>
  <si>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</si>
  <si>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</si>
  <si>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</si>
  <si>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</si>
  <si>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</si>
  <si>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</si>
  <si>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</si>
  <si>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</si>
  <si>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</si>
  <si>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</si>
  <si>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</si>
  <si>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</si>
  <si>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</si>
  <si>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</si>
  <si>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</si>
  <si>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</si>
  <si>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</si>
  <si>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</si>
  <si>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</si>
  <si>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</si>
  <si>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</si>
  <si>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</si>
  <si>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</si>
  <si>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</si>
  <si>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</si>
  <si>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</si>
  <si>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</si>
  <si>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</si>
  <si>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</si>
  <si>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</si>
  <si>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</si>
  <si>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</si>
  <si>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</si>
  <si>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</si>
  <si>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</si>
  <si>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</si>
  <si>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</si>
  <si>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</si>
  <si>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</si>
  <si>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</si>
  <si>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</si>
  <si>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</si>
  <si>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</si>
  <si>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</si>
  <si>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</si>
  <si>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</si>
  <si>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</si>
  <si>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</si>
  <si>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</si>
  <si>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</si>
  <si>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</si>
  <si>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</si>
  <si>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</si>
  <si>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</si>
  <si>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</si>
  <si>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</si>
  <si>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</si>
  <si>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</si>
  <si>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</si>
  <si>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</si>
  <si>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</si>
  <si>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</si>
  <si>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</si>
  <si>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</si>
  <si>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</si>
  <si>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</si>
  <si>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</si>
  <si>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</si>
  <si>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</si>
  <si>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</si>
  <si>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</si>
  <si>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</si>
  <si>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</si>
  <si>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</si>
  <si>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</si>
  <si>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</si>
  <si>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</si>
  <si>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</si>
  <si>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</si>
  <si>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</si>
  <si>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</si>
  <si>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</si>
  <si>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</si>
  <si>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</si>
  <si>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</si>
  <si>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</si>
  <si>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</si>
  <si>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</si>
  <si>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</si>
  <si>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</si>
  <si>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</si>
  <si>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</si>
  <si>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</si>
  <si>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</si>
  <si>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</si>
  <si>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</si>
  <si>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</si>
  <si>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</si>
  <si>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</si>
  <si>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</si>
  <si>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</si>
  <si>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</si>
  <si>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</si>
  <si>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</si>
  <si>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</si>
  <si>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</si>
  <si>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</si>
  <si>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</si>
  <si>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</si>
  <si>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</si>
  <si>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</si>
  <si>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</si>
  <si>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</si>
  <si>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</si>
  <si>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</si>
  <si>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</si>
  <si>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</si>
  <si>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</si>
  <si>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</si>
  <si>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</si>
  <si>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</si>
  <si>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</si>
  <si>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</si>
  <si>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</si>
  <si>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</si>
  <si>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</si>
  <si>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</si>
  <si>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</si>
  <si>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</si>
  <si>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</si>
  <si>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</si>
  <si>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</si>
  <si>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</si>
  <si>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</si>
  <si>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</si>
  <si>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</si>
  <si>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</si>
  <si>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</si>
  <si>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</si>
  <si>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</si>
  <si>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</si>
  <si>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</si>
  <si>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</si>
  <si>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</si>
  <si>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</si>
  <si>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</si>
  <si>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</si>
  <si>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</si>
  <si>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</si>
  <si>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</si>
  <si>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</si>
  <si>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</si>
  <si>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</si>
  <si>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</si>
  <si>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</si>
  <si>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</si>
  <si>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</si>
  <si>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</si>
  <si>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</si>
  <si>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</si>
  <si>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</si>
  <si>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</si>
  <si>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</si>
  <si>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</si>
  <si>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</si>
  <si>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</si>
  <si>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</si>
  <si>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</si>
  <si>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</si>
  <si>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</si>
  <si>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</si>
  <si>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</si>
  <si>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</si>
  <si>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</si>
  <si>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</si>
  <si>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</si>
  <si>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</si>
  <si>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</si>
  <si>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</si>
  <si>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</si>
  <si>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</si>
  <si>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</si>
  <si>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</si>
  <si>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</si>
  <si>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</si>
  <si>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</si>
  <si>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</si>
  <si>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</si>
  <si>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</si>
  <si>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</si>
  <si>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</si>
  <si>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</si>
  <si>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</si>
  <si>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</si>
  <si>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</si>
  <si>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</si>
  <si>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</si>
  <si>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</si>
  <si>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</si>
  <si>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</si>
  <si>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</si>
  <si>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</si>
  <si>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</si>
  <si>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</si>
  <si>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</si>
  <si>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</si>
  <si>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</si>
  <si>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</si>
  <si>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</si>
  <si>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</si>
  <si>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</si>
  <si>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</si>
  <si>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</si>
  <si>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</si>
  <si>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</si>
  <si>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</si>
  <si>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</si>
  <si>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</si>
  <si>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</si>
  <si>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</si>
  <si>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</si>
  <si>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</si>
  <si>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</si>
  <si>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</si>
  <si>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</si>
  <si>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</si>
  <si>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</si>
  <si>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</si>
  <si>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</si>
  <si>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</si>
  <si>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</si>
  <si>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</si>
  <si>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</si>
  <si>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</si>
  <si>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</si>
  <si>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</si>
  <si>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</si>
  <si>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</si>
  <si>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</si>
  <si>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</si>
  <si>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</si>
  <si>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</si>
  <si>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</si>
  <si>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</si>
  <si>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</si>
  <si>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</si>
  <si>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</si>
  <si>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</si>
  <si>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</si>
  <si>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</si>
  <si>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</si>
  <si>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</si>
  <si>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</si>
  <si>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</si>
  <si>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</si>
  <si>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</si>
  <si>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</si>
  <si>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</si>
  <si>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</si>
  <si>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</si>
  <si>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</si>
  <si>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</si>
  <si>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</si>
  <si>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</si>
  <si>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</si>
  <si>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</si>
  <si>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</si>
  <si>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</si>
  <si>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</si>
  <si>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</si>
  <si>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</si>
  <si>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</si>
  <si>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</si>
  <si>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</si>
  <si>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</si>
  <si>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</si>
  <si>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</si>
  <si>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兵庫県姫路市網干区新在家１２３９</t>
    <phoneticPr fontId="9" type="noConversion"/>
  </si>
  <si>
    <t>松井秀樹</t>
    <rPh sb="0" eb="2">
      <t>ﾏﾂｲ</t>
    </rPh>
    <rPh sb="2" eb="4">
      <t>ﾋﾃﾞｷ</t>
    </rPh>
    <phoneticPr fontId="9" type="noConversion"/>
  </si>
  <si>
    <t>h.matsui@pp-evonik.com</t>
    <phoneticPr fontId="9" type="noConversion"/>
  </si>
  <si>
    <t>079-273-4965</t>
    <phoneticPr fontId="9" type="noConversion"/>
  </si>
  <si>
    <t>松井秀樹</t>
    <phoneticPr fontId="9" type="noConversion"/>
  </si>
  <si>
    <t>部長</t>
    <rPh sb="0" eb="2">
      <t>ﾌﾞﾁｮｳ</t>
    </rPh>
    <phoneticPr fontId="84" type="noConversion"/>
  </si>
  <si>
    <t>ポリプラ・エボニック株式会社</t>
    <rPh sb="10" eb="14">
      <t>カブシキガイシャ</t>
    </rPh>
    <phoneticPr fontId="116"/>
  </si>
  <si>
    <t>ダイアミド　ペレット</t>
    <phoneticPr fontId="84" type="noConversion"/>
  </si>
  <si>
    <t>ダイアミド　パウダー</t>
    <phoneticPr fontId="84" type="noConversion"/>
  </si>
  <si>
    <t>ベスタミド　ペレット</t>
    <phoneticPr fontId="84" type="noConversion"/>
  </si>
  <si>
    <t>ベストジント　パウダー</t>
    <phoneticPr fontId="84" type="noConversion"/>
  </si>
  <si>
    <t>ベスタメルト　ペレット、パウダー</t>
    <phoneticPr fontId="84" type="noConversion"/>
  </si>
  <si>
    <t>トロガミド　ペレット</t>
    <phoneticPr fontId="84" type="noConversion"/>
  </si>
  <si>
    <t>ベスタキープ　ペレット　パウダー</t>
    <phoneticPr fontId="84" type="noConversion"/>
  </si>
  <si>
    <t>ダイアミド　L1965J（マイカ含有）を除く</t>
    <rPh sb="16" eb="18">
      <t>ｶﾞﾝﾕｳ</t>
    </rPh>
    <rPh sb="20" eb="21">
      <t>ﾉｿﾞ</t>
    </rPh>
    <phoneticPr fontId="84" type="noConversion"/>
  </si>
  <si>
    <r>
      <rPr>
        <sz val="12"/>
        <rFont val="ＭＳ Ｐ明朝"/>
        <family val="1"/>
        <charset val="128"/>
      </rPr>
      <t>ベスタキープ</t>
    </r>
    <r>
      <rPr>
        <sz val="12"/>
        <rFont val="Cambria"/>
        <family val="1"/>
      </rPr>
      <t>-J</t>
    </r>
    <r>
      <rPr>
        <sz val="12"/>
        <rFont val="ＭＳ Ｐ明朝"/>
        <family val="1"/>
        <charset val="128"/>
      </rPr>
      <t>　についてはお問い合わせください。</t>
    </r>
    <rPh sb="15" eb="16">
      <t>ﾄ</t>
    </rPh>
    <rPh sb="17" eb="18">
      <t>ｱ</t>
    </rPh>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</si>
</sst>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18">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2"/>
      <name val="ＭＳ Ｐ明朝"/>
      <family val="1"/>
      <charset val="128"/>
    </font>
    <font>
      <sz val="6"/>
      <name val="ＭＳ Ｐゴシック"/>
      <family val="3"/>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7" fillId="0" borderId="0" applyNumberFormat="0" applyFill="0" applyBorder="0" applyAlignment="0" applyProtection="0"/>
  </cellStyleXfs>
  <cellXfs count="413">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18" fillId="45" borderId="33" xfId="0" applyFont="1" applyFill="1" applyBorder="1" applyAlignment="1" applyProtection="1">
      <alignment horizontal="left" vertical="center" wrapText="1"/>
      <protection locked="0"/>
    </xf>
    <xf numFmtId="0" fontId="115" fillId="45" borderId="56" xfId="0" applyFont="1" applyFill="1" applyBorder="1" applyAlignment="1" applyProtection="1">
      <alignment horizontal="left" vertical="center"/>
      <protection locked="0"/>
    </xf>
    <xf numFmtId="0" fontId="115" fillId="45" borderId="11" xfId="0" applyFont="1" applyFill="1" applyBorder="1" applyAlignment="1" applyProtection="1">
      <alignment horizontal="left" vertical="center"/>
      <protection locked="0"/>
    </xf>
    <xf numFmtId="0" fontId="115" fillId="45" borderId="33" xfId="0" applyFont="1" applyFill="1" applyBorder="1" applyAlignment="1" applyProtection="1">
      <alignment horizontal="left" vertical="center"/>
      <protection locked="0"/>
    </xf>
    <xf numFmtId="0" fontId="115" fillId="45" borderId="56"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wrapText="1"/>
      <protection locked="0"/>
    </xf>
    <xf numFmtId="49" fontId="115" fillId="45" borderId="33" xfId="0" applyNumberFormat="1" applyFont="1" applyFill="1" applyBorder="1" applyAlignment="1" applyProtection="1">
      <alignment horizontal="left" vertical="center" wrapText="1"/>
      <protection locked="0"/>
    </xf>
    <xf numFmtId="0" fontId="115" fillId="45" borderId="20" xfId="0"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8" fillId="45" borderId="56"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57" xfId="0" applyFont="1" applyFill="1" applyBorder="1" applyAlignment="1" applyProtection="1">
      <alignment horizontal="left" vertical="center" wrapText="1"/>
      <protection locked="0"/>
    </xf>
    <xf numFmtId="0" fontId="18" fillId="45" borderId="26"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15"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15"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0" fillId="0" borderId="76" xfId="0" applyBorder="1" applyProtection="1">
      <protection locked="0"/>
    </xf>
    <xf numFmtId="0" fontId="0" fillId="0" borderId="77" xfId="0" applyBorder="1" applyProtection="1">
      <protection locked="0"/>
    </xf>
    <xf numFmtId="0" fontId="0" fillId="0" borderId="78" xfId="0" applyBorder="1" applyProtection="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4" fillId="45" borderId="11" xfId="0" applyFont="1" applyFill="1" applyBorder="1" applyAlignment="1">
      <alignment horizontal="left" vertical="center" wrapText="1"/>
    </xf>
    <xf numFmtId="0" fontId="117"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アクセント 1" xfId="688" builtinId="30" customBuiltin="1"/>
    <cellStyle name="20% - アクセント 2" xfId="692" builtinId="34" customBuiltin="1"/>
    <cellStyle name="20% - アクセント 3" xfId="696" builtinId="38" customBuiltin="1"/>
    <cellStyle name="20% - アクセント 4" xfId="700" builtinId="42" customBuiltin="1"/>
    <cellStyle name="20% - アクセント 5" xfId="704" builtinId="46" customBuiltin="1"/>
    <cellStyle name="20% - アクセント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アクセント 1" xfId="689" builtinId="31" customBuiltin="1"/>
    <cellStyle name="40% - アクセント 2" xfId="693" builtinId="35" customBuiltin="1"/>
    <cellStyle name="40% - アクセント 3" xfId="697" builtinId="39" customBuiltin="1"/>
    <cellStyle name="40% - アクセント 4" xfId="701" builtinId="43" customBuiltin="1"/>
    <cellStyle name="40% - アクセント 5" xfId="705" builtinId="47" customBuiltin="1"/>
    <cellStyle name="40% - アクセント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アクセント 1" xfId="690" builtinId="32" customBuiltin="1"/>
    <cellStyle name="60% - アクセント 2" xfId="694" builtinId="36" customBuiltin="1"/>
    <cellStyle name="60% - アクセント 3" xfId="698" builtinId="40" customBuiltin="1"/>
    <cellStyle name="60% - アクセント 4" xfId="702" builtinId="44" customBuiltin="1"/>
    <cellStyle name="60% - アクセント 5" xfId="706" builtinId="48" customBuiltin="1"/>
    <cellStyle name="60% - アクセント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アクセント 1" xfId="687" builtinId="29" customBuiltin="1"/>
    <cellStyle name="アクセント 2" xfId="691" builtinId="33" customBuiltin="1"/>
    <cellStyle name="アクセント 3" xfId="695" builtinId="37" customBuiltin="1"/>
    <cellStyle name="アクセント 4" xfId="699" builtinId="41" customBuiltin="1"/>
    <cellStyle name="アクセント 5" xfId="703" builtinId="45" customBuiltin="1"/>
    <cellStyle name="アクセント 6" xfId="707" builtinId="49" customBuiltin="1"/>
    <cellStyle name="タイトル" xfId="671" builtinId="15" customBuiltin="1"/>
    <cellStyle name="チェック セル" xfId="683" builtinId="23" customBuiltin="1"/>
    <cellStyle name="どちらでもない" xfId="678" builtinId="28" customBuiltin="1"/>
    <cellStyle name="ハイパーリンク" xfId="829" builtinId="8"/>
    <cellStyle name="リンク セル" xfId="682" builtinId="24" customBuiltin="1"/>
    <cellStyle name="悪い" xfId="677" builtinId="27" customBuiltin="1"/>
    <cellStyle name="一般 7" xfId="593"/>
    <cellStyle name="計算" xfId="681" builtinId="22" customBuiltin="1"/>
    <cellStyle name="警告文" xfId="684" builtinId="11" customBuiltin="1"/>
    <cellStyle name="見出し 1" xfId="672" builtinId="16" customBuiltin="1"/>
    <cellStyle name="見出し 2" xfId="673" builtinId="17" customBuiltin="1"/>
    <cellStyle name="見出し 3" xfId="674" builtinId="18" customBuiltin="1"/>
    <cellStyle name="見出し 4" xfId="675" builtinId="19" customBuiltin="1"/>
    <cellStyle name="集計" xfId="686" builtinId="25" customBuiltin="1"/>
    <cellStyle name="出力" xfId="680" builtinId="21" customBuiltin="1"/>
    <cellStyle name="説明文" xfId="685" builtinId="53" customBuiltin="1"/>
    <cellStyle name="入力" xfId="679" builtinId="20" customBuiltin="1"/>
    <cellStyle name="標準" xfId="0" builtinId="0"/>
    <cellStyle name="標準 2" xfId="594"/>
    <cellStyle name="標準 2 2" xfId="595"/>
    <cellStyle name="標準 2 3" xfId="596"/>
    <cellStyle name="良い" xfId="676" builtinId="26" customBuiltin="1"/>
    <cellStyle name="표준 2" xfId="592"/>
  </cellStyles>
  <dxfs count="80">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matsui@pp-evonik.com" TargetMode="External"/><Relationship Id="rId1" Type="http://schemas.openxmlformats.org/officeDocument/2006/relationships/hyperlink" Target="mailto:h.matsui@pp-evonik.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RMIウェブサイト：www.responsiblemineralsinitiative.org/</v>
      </c>
      <c r="B1" s="180"/>
    </row>
    <row r="2" spans="1:2" ht="15">
      <c r="A2" s="95" t="str">
        <f ca="1">OFFSET(L!$C$1,MATCH("Instructions"&amp;ADDRESS(ROW(),COLUMN(),4),L!$A:$A,0)-1,SL,,)</f>
        <v>始めに</v>
      </c>
      <c r="B2" s="180"/>
    </row>
    <row r="3" spans="1:2" ht="168.6" customHeight="1">
      <c r="A3" s="94" t="str">
        <f ca="1">OFFSET(L!$C$1,MATCH("Instructions"&amp;ADDRESS(ROW(),COLUMN(),4),L!$A:$A,0)-1,SL,,)</f>
        <v>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v>
      </c>
      <c r="B3" s="180"/>
    </row>
    <row r="4" spans="1:2" ht="16.5" customHeight="1">
      <c r="A4" s="220"/>
      <c r="B4" s="180"/>
    </row>
    <row r="5" spans="1:2" ht="42" customHeight="1">
      <c r="A5" s="221" t="str">
        <f ca="1">OFFSET(L!$C$1,MATCH("Instructions"&amp;ADDRESS(ROW(),COLUMN(),4),L!$A:$A,0)-1,SL,,)</f>
        <v>会社情報の記入（8～22行）に関する解説。
回答は英語(半角)で入力してください。</v>
      </c>
      <c r="B5" s="180"/>
    </row>
    <row r="6" spans="1:2" ht="35.1" customHeight="1">
      <c r="A6" s="95" t="str">
        <f ca="1">OFFSET(L!$C$1,MATCH("Instructions"&amp;ADDRESS(ROW(),COLUMN(),4),L!$A:$A,0)-1,SL,,)</f>
        <v>注：(*)のある欄は必須回答項目です。</v>
      </c>
      <c r="B6" s="180"/>
    </row>
    <row r="7" spans="1:2" ht="48" customHeight="1">
      <c r="A7" s="199" t="str">
        <f ca="1">OFFSET(L!$C$1,MATCH("Instructions"&amp;ADDRESS(ROW(),COLUMN(),4),L!$A:$A,0)-1,SL,,)</f>
        <v>1. 貴社の正式名称を記入してください。省略形は使わないでください。このフィールドでは、他の社名やDBAなどを追加することができます。このフィールドは記入必須です。</v>
      </c>
      <c r="B7" s="180"/>
    </row>
    <row r="8" spans="1:2" ht="315" customHeight="1">
      <c r="A8" s="199" t="str">
        <f ca="1">OFFSET(L!$C$1,MATCH("Instructions"&amp;ADDRESS(ROW(),COLUMN(),4),L!$A:$A,0)-1,SL,,)</f>
        <v>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又は天然マイカ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又は天然マイカ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v>
      </c>
      <c r="B8" s="180"/>
    </row>
    <row r="9" spans="1:2" ht="36" customHeight="1">
      <c r="A9" s="94" t="str">
        <f ca="1">OFFSET(L!$C$1,MATCH("Instructions"&amp;ADDRESS(ROW(),COLUMN(),4),L!$A:$A,0)-1,SL,,)</f>
        <v>3.  貴社固有の識別番号又はコードを記入してください（DUNSナンバー、VATナンバー、顧客固有番号等）。</v>
      </c>
      <c r="B9" s="180"/>
    </row>
    <row r="10" spans="1:2" ht="20.100000000000001" customHeight="1">
      <c r="A10" s="94" t="str">
        <f ca="1">OFFSET(L!$C$1,MATCH("Instructions"&amp;ADDRESS(ROW(),COLUMN(),4),L!$A:$A,0)-1,SL,,)</f>
        <v>4. 固有の識別番号又はコードの発行元を記入してください（「DUNS」「VAT」「顧客」等）。</v>
      </c>
      <c r="B10" s="180"/>
    </row>
    <row r="11" spans="1:2" ht="20.100000000000001" customHeight="1">
      <c r="A11" s="94" t="str">
        <f ca="1">OFFSET(L!$C$1,MATCH("Instructions"&amp;ADDRESS(ROW(),COLUMN(),4),L!$A:$A,0)-1,SL,,)</f>
        <v>5. 貴社の住所を省略せずに記入してください（番地、市、州/都道府県、国、郵便番号） 。このフィールドは任意です。</v>
      </c>
      <c r="B11" s="180"/>
    </row>
    <row r="12" spans="1:2" ht="35.1" customHeight="1">
      <c r="A12" s="94" t="str">
        <f ca="1">OFFSET(L!$C$1,MATCH("Instructions"&amp;ADDRESS(ROW(),COLUMN(),4),L!$A:$A,0)-1,SL,,)</f>
        <v>6. 申告内容に関する連絡先の名前を記入してください。このフィールドは記入必須です。</v>
      </c>
      <c r="B12" s="180"/>
    </row>
    <row r="13" spans="1:2" ht="33" customHeight="1">
      <c r="A13" s="94"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v>
      </c>
      <c r="B13" s="180"/>
    </row>
    <row r="14" spans="1:2" ht="20.100000000000001" customHeight="1">
      <c r="A14" s="94" t="str">
        <f ca="1">OFFSET(L!$C$1,MATCH("Instructions"&amp;ADDRESS(ROW(),COLUMN(),4),L!$A:$A,0)-1,SL,,)</f>
        <v>8. 連絡先電話番号を記入してください。このフィールドは記入必須です。</v>
      </c>
      <c r="B14" s="180"/>
    </row>
    <row r="15" spans="1:2" ht="49.5" customHeight="1">
      <c r="A15" s="94" t="str">
        <f ca="1">OFFSET(L!$C$1,MATCH("Instructions"&amp;ADDRESS(ROW(),COLUMN(),4),L!$A:$A,0)-1,SL,,)</f>
        <v>9.申告内容の回答責任者の名前を記入してください。連絡先と異なる人でも構いません。回答責任者を「同上」又は同様の表現は避けてください。このフィールドは記入必須です。</v>
      </c>
      <c r="B15" s="180"/>
    </row>
    <row r="16" spans="1:2" ht="32.25" customHeight="1">
      <c r="A16" s="94" t="str">
        <f ca="1">OFFSET(L!$C$1,MATCH("Instructions"&amp;ADDRESS(ROW(),COLUMN(),4),L!$A:$A,0)-1,SL,,)</f>
        <v>10. 回答責任者の役職を記入してください。このフィールドは任意です。</v>
      </c>
      <c r="B16" s="180"/>
    </row>
    <row r="17" spans="1:2" ht="30">
      <c r="A17" s="94" t="str">
        <f ca="1">OFFSET(L!$C$1,MATCH("Instructions"&amp;ADDRESS(ROW(),COLUMN(),4),L!$A:$A,0)-1,SL,,)</f>
        <v>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v>
      </c>
      <c r="B17" s="180"/>
    </row>
    <row r="18" spans="1:2" ht="31.5" customHeight="1">
      <c r="A18" s="94" t="str">
        <f ca="1">OFFSET(L!$C$1,MATCH("Instructions"&amp;ADDRESS(ROW(),COLUMN(),4),L!$A:$A,0)-1,SL,,)</f>
        <v>12. 回答責任者の電話番号を記入してください。このフィールドは任意です。</v>
      </c>
      <c r="B18" s="180"/>
    </row>
    <row r="19" spans="1:2" ht="35.450000000000003" customHeight="1">
      <c r="A19" s="94" t="str">
        <f ca="1">OFFSET(L!$C$1,MATCH("Instructions"&amp;ADDRESS(ROW(),COLUMN(),4),L!$A:$A,0)-1,SL,,)</f>
        <v>13. このテンプレートの作成日をDD-MMM-YYYY（例: 01-JAN-2012）の形式で記入してください。このフィールドは記入必須です。</v>
      </c>
      <c r="B19" s="180"/>
    </row>
    <row r="20" spans="1:2" ht="40.5" customHeight="1">
      <c r="A20" s="94" t="str">
        <f ca="1">OFFSET(L!$C$1,MATCH("Instructions"&amp;ADDRESS(ROW(),COLUMN(),4),L!$A:$A,0)-1,SL,,)</f>
        <v>14. 例えば、ファイル名を「会社名-日付.xlsx」として保存します（日付はYYYY-MM-DDで記述）。</v>
      </c>
      <c r="B20" s="180"/>
    </row>
    <row r="21" spans="1:2" ht="17.45" customHeight="1">
      <c r="A21" s="220"/>
      <c r="B21" s="180"/>
    </row>
    <row r="22" spans="1:2" ht="42.75" customHeight="1">
      <c r="A22" s="95" t="str">
        <f ca="1">OFFSET(L!$C$1,MATCH("Instructions"&amp;ADDRESS(ROW(),COLUMN(),4),L!$A:$A,0)-1,SL,,)</f>
        <v>デュー・ディリジェンスに関する6つの質問（24 - 63行）に対する解説。
回答は英語（半角）で入力してください。</v>
      </c>
      <c r="B22" s="180"/>
    </row>
    <row r="23" spans="1:2" ht="57.75" customHeight="1">
      <c r="A23" s="95" t="str">
        <f ca="1">OFFSET(L!$C$1,MATCH("Instructions"&amp;ADDRESS(ROW(),COLUMN(),4),L!$A:$A,0)-1,SL,,)</f>
        <v>これらの7つの質問は、コバルト又は天然マイカの使用法、原産地、調達先を明確にするものです。質問は、貴社の製品中へのコバルト又は天然マイカの使用と報告の完全性に関する情報を収集するために作られています。質問への回答は、企業情報に関するセクションで選択した「申告範囲」が対象となります。</v>
      </c>
      <c r="B23" s="180"/>
    </row>
    <row r="24" spans="1:2" ht="30.6" customHeight="1">
      <c r="A24" s="95" t="str">
        <f ca="1">OFFSET(L!$C$1,MATCH("Instructions"&amp;ADDRESS(ROW(),COLUMN(),4),L!$A:$A,0)-1,SL,,)</f>
        <v>回答を補足する必要がある場合は、備考欄に記入してください。</v>
      </c>
      <c r="B24" s="180"/>
    </row>
    <row r="25" spans="1:2" ht="46.5" customHeight="1">
      <c r="A25" s="95" t="str">
        <f ca="1">OFFSET(L!$C$1,MATCH("Instructions"&amp;ADDRESS(ROW(),COLUMN(),4),L!$A:$A,0)-1,SL,,)</f>
        <v>コバルト又は天然マイカに関する質問1への回答が「Yes」の場合、コバルト又は天然マイカについてすべての質問に記入し、貴社のデュー・ディリジェンスプログラム全体に関する下記のデュー・ディリジェンス関連の質問（A～I）にも回答する必要があります。</v>
      </c>
      <c r="B25" s="180"/>
    </row>
    <row r="26" spans="1:2" ht="144.75" customHeight="1">
      <c r="A26" s="94" t="str">
        <f ca="1">OFFSET(L!$C$1,MATCH("Instructions"&amp;ADDRESS(ROW(),COLUMN(),4),L!$A:$A,0)-1,SL,,)</f>
        <v>1.この質問は、コバルト又は天然マイカが報告要件の範囲内に当てはまるかを判定するために使用されます。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又は天然マイカが使用されているか否かを質問します。原材料、部品、添加物、研磨剤および切削工具からの不純物は本調査の範囲外です。
「Yes（はい）」「No（いいえ）」「Unknown（不明）」又は「Not applicable for this declaration（本申告適用外）」で回答してください。「Not applicable for this declaration（本申告適用外）」は、材料が申告の範囲内にない場合に使用できます。</v>
      </c>
      <c r="B26" s="180"/>
    </row>
    <row r="27" spans="1:2" ht="36" customHeight="1">
      <c r="A27" s="94" t="str">
        <f ca="1">OFFSET(L!$C$1,MATCH("Instructions"&amp;ADDRESS(ROW(),COLUMN(),4),L!$A:$A,0)-1,SL,,)</f>
        <v>「No（いいえ）」という回答に対して、コメント欄に具体的な内容の記入を要求する企業もあります。</v>
      </c>
      <c r="B27" s="180"/>
    </row>
    <row r="28" spans="1:2" ht="165">
      <c r="A28" s="94" t="str">
        <f ca="1">OFFSET(L!$C$1,MATCH("Instructions"&amp;ADDRESS(ROW(),COLUMN(),4),L!$A:$A,0)-1,SL,,)</f>
        <v>2. この質問は、質問1の回答が「Yes（はい）」である場合にはコバルト及び／又はマイカについて回答するものとします。これは2つある質問の2番目の質問で、コバルト又はマイカがこの報告テンプレートの範囲内にあるか否かを判定するためにこの質問の回答は使用されます。この質問は、質問1の質問や回答と関連付けられています。この質問は、コバルト及びマイカがある程度完成品に残留している場合、コバルト及びマイカ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コバルト及びマイカも含まれます。多くの場合、メーカーは製造過程中にコバルト及びマイカの削除又は消耗を促進しようと努めますが、ある程度のコバルト及びマイカが残留します。コバルト又はマイカが製造過程中に加えられた又は含まれたが、その製造過程の完了時にコバルト又はマイカが残留しないように完全に除去された場合、この質問の回答は「No（いいえ）」となります。
この質問は、コバルト及びマイカについて回答する必要があります。「Yes（はい）」「No（いいえ）」又は「Unknown（不明）」で回答してください。この質問への回答は必須です。</v>
      </c>
      <c r="B28" s="180"/>
    </row>
    <row r="29" spans="1:2" ht="138" customHeight="1">
      <c r="A29" s="94" t="str">
        <f ca="1">OFFSET(L!$C$1,MATCH("Instructions"&amp;ADDRESS(ROW(),COLUMN(),4),L!$A:$A,0)-1,SL,,)</f>
        <v>3.これは、製品または複数の製品に含まれるコバルト又は天然マイカの一部が、紛争地域および高リスク地域（CAHRA）を原産としているかの申告です。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コバルトに関するこの質問には「Yes（はい）」「No（いいえ）」「Unknown（不明）」又は「DRC only（DRCのみ）」で回答してください。マイカに関するこの質問には、「Yes（はい）」「No（いいえ）」「Unknown（不明）」又は「India and/or Madagascar only（インド及び／又はマダガスカルのみ）」で回答してください。「Yes（はい）」の場合は、具体的に備考欄に記入してください。「Unknown（不明）」と回答することも可能です。質問1及び2の回答が「Yes（はい）」の場合、この質問はコバル又は天然マイカに関して必須です。</v>
      </c>
      <c r="B29" s="180"/>
    </row>
    <row r="30" spans="1:2" ht="149.44999999999999" customHeight="1">
      <c r="A30" s="94" t="str">
        <f ca="1">OFFSET(L!$C$1,MATCH("Instructions"&amp;ADDRESS(ROW(),COLUMN(),4),L!$A:$A,0)-1,SL,,)</f>
        <v>4.これは、製品に含まれるコバルトが再生利用品又はスクラップ起源を由来としているかどうかを示す申告です。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注：本文書の発行時点で、際立った使用済みマイカの再生利用はありません。</v>
      </c>
      <c r="B30" s="180"/>
    </row>
    <row r="31" spans="1:2" ht="165">
      <c r="A31" s="94" t="str">
        <f ca="1">OFFSET(L!$C$1,MATCH("Instructions"&amp;ADDRESS(ROW(),COLUMN(),4),L!$A:$A,0)-1,SL,,)</f>
        <v>5. 企業が、申告範囲内の製品に含まれるコバルト又は天然マイカ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v>
      </c>
      <c r="B31" s="180"/>
    </row>
    <row r="32" spans="1:2" ht="90.75" customHeight="1">
      <c r="A32" s="94" t="str">
        <f ca="1">OFFSET(L!$C$1,MATCH("Instructions"&amp;ADDRESS(ROW(),COLUMN(),4),L!$A:$A,0)-1,SL,,)</f>
        <v>6. この質問は、サプライヤーがこの申告の対象となるコバルト又は天然マイカ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v>
      </c>
      <c r="B32" s="180"/>
    </row>
    <row r="33" spans="1:2" ht="57.75" customHeight="1">
      <c r="A33" s="94" t="str">
        <f ca="1">OFFSET(L!$C$1,MATCH("Instructions"&amp;ADDRESS(ROW(),COLUMN(),4),L!$A:$A,0)-1,SL,,)</f>
        <v>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v>
      </c>
      <c r="B33" s="180"/>
    </row>
    <row r="34" spans="1:2" ht="15">
      <c r="A34" s="231"/>
      <c r="B34" s="180"/>
    </row>
    <row r="35" spans="1:2" ht="68.45" customHeight="1">
      <c r="A35" s="221" t="str">
        <f ca="1">OFFSET(L!$C$1,MATCH("Instructions"&amp;ADDRESS(ROW(),COLUMN(),4),L!$A:$A,0)-1,SL,,)</f>
        <v>質問A～Gの記入方法について（行69～83）。コバルトまたは天然マイカに対する質問1及び質問2の回答が「Yes（はい）」の場合、A～Gまでの質問は必須となります。　
英語のみで回答してください。</v>
      </c>
      <c r="B35" s="180"/>
    </row>
    <row r="36" spans="1:2" ht="143.1" customHeight="1">
      <c r="A36" s="221" t="str">
        <f ca="1">OFFSET(L!$C$1,MATCH("Instructions"&amp;ADDRESS(ROW(),COLUMN(),4),L!$A:$A,0)-1,SL,,)</f>
        <v>「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次の質問A～Gは貴社のコバルト及び／又は天然マイカ調達のデュー・ディリジェンス活動を評価するために設計されています。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v>
      </c>
      <c r="B36" s="180"/>
    </row>
    <row r="37" spans="1:2" ht="55.5" customHeight="1">
      <c r="A37" s="94" t="str">
        <f ca="1">OFFSET(L!$C$1,MATCH("Instructions"&amp;ADDRESS(ROW(),COLUMN(),4),L!$A:$A,0)-1,SL,,)</f>
        <v>A. これは、責任ある鉱物調達方針が企業にあるかどうかを明らかにする申告です。「Yes（はい）」又は「No（いいえ）」で回答してください。
このフィールドは記入必須です。</v>
      </c>
      <c r="B37" s="180"/>
    </row>
    <row r="38" spans="1:2" ht="60" customHeight="1">
      <c r="A38" s="94" t="str">
        <f ca="1">OFFSET(L!$C$1,MATCH("Instructions"&amp;ADDRESS(ROW(),COLUMN(),4),L!$A:$A,0)-1,SL,,)</f>
        <v xml:space="preserve">B. これは、企業の責任ある鉱物調達方針が、企業のウェブサイトで入手可能かどうかを明らかにする申告です。「Yes（はい）」又は「No（いいえ）」で回答してください。「Yes（はい）」の場合は、備考欄にURLを記入してください。 
</v>
      </c>
      <c r="B38" s="180"/>
    </row>
    <row r="39" spans="1:2" ht="86.45" customHeight="1">
      <c r="A39" s="94" t="str">
        <f ca="1">OFFSET(L!$C$1,MATCH("Instructions"&amp;ADDRESS(ROW(),COLUMN(),4),L!$A:$A,0)-1,SL,,)</f>
        <v>C. 企業が、企業の直接サプライヤーに対して、独立した第三者の検証を受けた製錬業者及び加工業者からコバルト及び／又は天然マイカを調達することを要求しているかを判定するための申告です。コバルトに関するこの質問には「Yes（はい）」又は「No（いいえ）」で回答してください。マイカに関するこの質問には「Yes（はい）」「Yes, when more processors are validated（より多くの加工業者が検証される時、はい）」又は「No（いいえ）」で回答してください。コメントは質問の備考欄に記入してください。このフィールドは記入必須です。</v>
      </c>
      <c r="B39" s="180"/>
    </row>
    <row r="40" spans="1:2" ht="96" customHeight="1">
      <c r="A40" s="94" t="str">
        <f ca="1">OFFSET(L!$C$1,MATCH("Instructions"&amp;ADDRESS(ROW(),COLUMN(),4),L!$A:$A,0)-1,SL,,)</f>
        <v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v>
      </c>
      <c r="B40" s="180"/>
    </row>
    <row r="41" spans="1:2" ht="135">
      <c r="A41" s="94" t="str">
        <f ca="1">OFFSET(L!$C$1,MATCH("Instructions"&amp;ADDRESS(ROW(),COLUMN(),4),L!$A:$A,0)-1,SL,,)</f>
        <v>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v>
      </c>
      <c r="B41" s="180"/>
    </row>
    <row r="42" spans="1:2" ht="143.25" customHeight="1">
      <c r="A42" s="94" t="str">
        <f ca="1">OFFSET(L!$C$1,MATCH("Instructions"&amp;ADDRESS(ROW(),COLUMN(),4),L!$A:$A,0)-1,SL,,)</f>
        <v>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v>
      </c>
      <c r="B42" s="180"/>
    </row>
    <row r="43" spans="1:2" ht="64.5" customHeight="1">
      <c r="A43" s="94" t="str">
        <f ca="1">OFFSET(L!$C$1,MATCH("Instructions"&amp;ADDRESS(ROW(),COLUMN(),4),L!$A:$A,0)-1,SL,,)</f>
        <v>G. これは、企業の検証プロセスに是正措置管理が含まれているかを判定するための質問です。「Yes（はい）」又は「No（いいえ）」で回答してください。コメントは、質問の備考欄に記入してください。このフィールドは記入必須です。</v>
      </c>
      <c r="B43" s="180"/>
    </row>
    <row r="44" spans="1:2" ht="15.95" customHeight="1">
      <c r="A44" s="220"/>
      <c r="B44" s="180"/>
    </row>
    <row r="45" spans="1:2" ht="60">
      <c r="A45" s="95" t="str">
        <f ca="1">OFFSET(L!$C$1,MATCH("Instructions"&amp;ADDRESS(ROW(),COLUMN(),4),L!$A:$A,0)-1,SL,,)</f>
        <v>Smelter List（製錬業者リスト）シートの記入に関する解説。
回答は英語（半角）で入力してください。
注：(*)のある欄は必須項目です。</v>
      </c>
      <c r="B45" s="180"/>
    </row>
    <row r="46" spans="1:2" ht="63.6" customHeight="1">
      <c r="A46" s="95" t="str">
        <f ca="1">OFFSET(L!$C$1,MATCH("Instructions"&amp;ADDRESS(ROW(),COLUMN(),4),L!$A:$A,0)-1,SL,,)</f>
        <v>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v>
      </c>
      <c r="B46" s="180"/>
    </row>
    <row r="47" spans="1:2" ht="51.95" hidden="1" customHeight="1">
      <c r="A47" s="94" t="e">
        <f ca="1">OFFSET(L!$C$1,MATCH("Instructions"&amp;ADDRESS(ROW(),COLUMN(),4),L!$A:$A,0)-1,SL,,)</f>
        <v>#N/A</v>
      </c>
      <c r="B47" s="180"/>
    </row>
    <row r="48" spans="1:2" ht="43.5" customHeight="1">
      <c r="A48" s="94" t="str">
        <f ca="1">OFFSET(L!$C$1,MATCH("Instructions"&amp;ADDRESS(ROW(),COLUMN(),4),L!$A:$A,0)-1,SL,,)</f>
        <v>1. 製錬業者識別番号の入力列－製錬業者識別番号が分かる場合は、その番号をA列に入力してください（B、C、E、F、G、I、およびJは自動入力されます）。A列は自動入力されません。</v>
      </c>
      <c r="B48" s="180"/>
    </row>
    <row r="49" spans="1:2" ht="54.95" customHeight="1">
      <c r="A49" s="94" t="str">
        <f ca="1">OFFSET(L!$C$1,MATCH("Instructions"&amp;ADDRESS(ROW(),COLUMN(),4),L!$A:$A,0)-1,SL,,)</f>
        <v>2. 金属(*) － ドロップダウンメニューを使用して、製錬業者情報を入力する該当金属を選択してください。</v>
      </c>
      <c r="B49" s="180"/>
    </row>
    <row r="50" spans="1:2" ht="60">
      <c r="A50" s="94" t="str">
        <f ca="1">OFFSET(L!$C$1,MATCH("Instructions"&amp;ADDRESS(ROW(),COLUMN(),4),L!$A:$A,0)-1,SL,,)</f>
        <v>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v>
      </c>
      <c r="B50" s="180"/>
    </row>
    <row r="51" spans="1:2" ht="45.75" customHeight="1">
      <c r="A51" s="94" t="str">
        <f ca="1">OFFSET(L!$C$1,MATCH("Instructions"&amp;ADDRESS(ROW(),COLUMN(),4),L!$A:$A,0)-1,SL,,)</f>
        <v>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v>
      </c>
      <c r="B51" s="180"/>
    </row>
    <row r="52" spans="1:2" ht="54" customHeight="1">
      <c r="A52" s="94" t="str">
        <f ca="1">OFFSET(L!$C$1,MATCH("Instructions"&amp;ADDRESS(ROW(),COLUMN(),4),L!$A:$A,0)-1,SL,,)</f>
        <v>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v>
      </c>
      <c r="B52" s="180"/>
    </row>
    <row r="53" spans="1:2" ht="54" customHeight="1">
      <c r="A53" s="94"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v>
      </c>
      <c r="B53" s="180"/>
    </row>
    <row r="54" spans="1:2" ht="35.450000000000003" customHeight="1">
      <c r="A54" s="94" t="str">
        <f ca="1">OFFSET(L!$C$1,MATCH("Instructions"&amp;ADDRESS(ROW(),COLUMN(),4),L!$A:$A,0)-1,SL,,)</f>
        <v>7. 製錬業者識別番号の発行元　－　これはF列に入力された製錬業者識別番号の発行元です。ドロップダウンボックスを使ってC列に製錬業者名を選択すると、この欄は自動入力されます。</v>
      </c>
      <c r="B54" s="180"/>
    </row>
    <row r="55" spans="1:2" ht="21.75" customHeight="1">
      <c r="A55" s="94" t="str">
        <f ca="1">OFFSET(L!$C$1,MATCH("Instructions"&amp;ADDRESS(ROW(),COLUMN(),4),L!$A:$A,0)-1,SL,,)</f>
        <v>8. 製錬業者所在地：番地　－　製錬業者の所在する番地を記入してください。</v>
      </c>
      <c r="B55" s="180"/>
    </row>
    <row r="56" spans="1:2" ht="27.95" customHeight="1">
      <c r="A56" s="94" t="str">
        <f ca="1">OFFSET(L!$C$1,MATCH("Instructions"&amp;ADDRESS(ROW(),COLUMN(),4),L!$A:$A,0)-1,SL,,)</f>
        <v>9. 製錬業者所在地：市　－　製錬業者の所在する市を記入してください。</v>
      </c>
      <c r="B56" s="180"/>
    </row>
    <row r="57" spans="1:2" ht="26.1" customHeight="1">
      <c r="A57" s="94" t="str">
        <f ca="1">OFFSET(L!$C$1,MATCH("Instructions"&amp;ADDRESS(ROW(),COLUMN(),4),L!$A:$A,0)-1,SL,,)</f>
        <v>10. 製錬業者所在地： 州／県／省（該当する場合のみ回答）　－　製錬業者の所在する州又は県を記入してください。</v>
      </c>
      <c r="B57" s="180"/>
    </row>
    <row r="58" spans="1:2" ht="182.45" customHeight="1">
      <c r="A58" s="94" t="str">
        <f ca="1">OFFSET(L!$C$1,MATCH("Instructions"&amp;ADDRESS(ROW(),COLUMN(),4),L!$A:$A,0)-1,SL,,)</f>
        <v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58" s="180"/>
    </row>
    <row r="59" spans="1:2" ht="76.5" customHeight="1">
      <c r="A59" s="94" t="str">
        <f ca="1">OFFSET(L!$C$1,MATCH("Instructions"&amp;ADDRESS(ROW(),COLUMN(),4),L!$A:$A,0)-1,SL,,)</f>
        <v>12. 製錬業者連絡先電子メール　－　上記製錬施設連絡先担当者のメールアドレスを記入してください。
例：John.Smith@SmelterXXX.com 　この欄を記入する前に、「製錬業者連絡先担当者名」の説明を確認してください。</v>
      </c>
      <c r="B59" s="180"/>
    </row>
    <row r="60" spans="1:2" ht="65.099999999999994" customHeight="1">
      <c r="A60" s="94" t="str">
        <f ca="1">OFFSET(L!$C$1,MATCH("Instructions"&amp;ADDRESS(ROW(),COLUMN(),4),L!$A:$A,0)-1,SL,,)</f>
        <v>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v>
      </c>
      <c r="B60" s="180"/>
    </row>
    <row r="61" spans="1:2" ht="101.1" customHeight="1">
      <c r="A61" s="94" t="str">
        <f ca="1">OFFSET(L!$C$1,MATCH("Instructions"&amp;ADDRESS(ROW(),COLUMN(),4),L!$A:$A,0)-1,SL,,)</f>
        <v>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v>
      </c>
      <c r="B61" s="180"/>
    </row>
    <row r="62" spans="1:2" ht="101.1" customHeight="1">
      <c r="A62" s="94" t="str">
        <f ca="1">OFFSET(L!$C$1,MATCH("Instructions"&amp;ADDRESS(ROW(),COLUMN(),4),L!$A:$A,0)-1,SL,,)</f>
        <v>15. 製錬業者がリサイクル又はスクラップ資源からの製錬プロセスの投入量を単独で取得するかどうかを示します。この質問は任意です。回答は、以下の中から選択してください。
- Yes（はい）
- No（いいえ）
- Unknown（不明）</v>
      </c>
      <c r="B62" s="180"/>
    </row>
    <row r="63" spans="1:2" ht="54" customHeight="1">
      <c r="A63" s="94" t="str">
        <f ca="1">OFFSET(L!$C$1,MATCH("Instructions"&amp;ADDRESS(ROW(),COLUMN(),4),L!$A:$A,0)-1,SL,,)</f>
        <v>16. 備考　－　製錬業者に関するコメントがあれば備考欄に記述してください。例：製錬業者はYYY社に買収されている</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利用規約</v>
      </c>
      <c r="B67" s="180"/>
    </row>
    <row r="68" spans="1:2" ht="116.1" customHeight="1">
      <c r="A68" s="95" t="str">
        <f ca="1">OFFSET(L!$C$1,MATCH("Instructions"&amp;ADDRESS(ROW(),COLUMN(),4),L!$A:$A,0)-1,SL,,)</f>
        <v>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v>
      </c>
      <c r="B68" s="180"/>
    </row>
    <row r="69" spans="1:2" ht="84.75" customHeight="1">
      <c r="A69" s="9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v>
      </c>
      <c r="B69" s="180"/>
    </row>
    <row r="70" spans="1:2" ht="83.45" customHeight="1">
      <c r="A70" s="95" t="str">
        <f ca="1">OFFSET(L!$C$1,MATCH("Instructions"&amp;ADDRESS(ROW(),COLUMN(),4),L!$A:$A,0)-1,SL,,)</f>
        <v>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0" s="180"/>
    </row>
    <row r="71" spans="1:2" ht="137.44999999999999" customHeight="1">
      <c r="A71" s="95" t="str">
        <f ca="1">OFFSET(L!$C$1,MATCH("Instructions"&amp;ADDRESS(ROW(),COLUMN(),4),L!$A:$A,0)-1,SL,,)</f>
        <v>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v>
      </c>
      <c r="B71" s="180"/>
    </row>
    <row r="72" spans="1:2" ht="82.5" customHeight="1">
      <c r="A72" s="95"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2" s="180"/>
    </row>
    <row r="73" spans="1:2" ht="34.5" customHeight="1">
      <c r="A73" s="94" t="str">
        <f ca="1">OFFSET(L!$C$1,MATCH("General"&amp;"Cpy",L!$A:$A,0)-1,SL,,)</f>
        <v>© 2023 Responsible Minerals Initiative. 無断転載・再配布禁止。</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7"/>
      <c r="B2" s="2" t="s">
        <v>1</v>
      </c>
      <c r="C2" s="3"/>
      <c r="D2" s="147"/>
      <c r="E2" s="3"/>
      <c r="F2" s="3"/>
      <c r="G2" s="25"/>
    </row>
    <row r="3" spans="1:7">
      <c r="A3" s="317"/>
      <c r="B3" s="3" t="s">
        <v>2</v>
      </c>
      <c r="C3" s="2"/>
      <c r="D3" s="148"/>
      <c r="E3" s="3"/>
      <c r="F3" s="2"/>
      <c r="G3" s="25"/>
    </row>
    <row r="4" spans="1:7" ht="15">
      <c r="A4" s="317"/>
      <c r="B4" s="184" t="s">
        <v>3</v>
      </c>
      <c r="C4" s="185"/>
      <c r="D4" s="186"/>
      <c r="E4" s="3"/>
      <c r="F4" s="185"/>
      <c r="G4" s="25"/>
    </row>
    <row r="5" spans="1:7">
      <c r="A5" s="317"/>
      <c r="B5" s="190" t="s">
        <v>4</v>
      </c>
      <c r="C5" s="187"/>
      <c r="D5" s="188"/>
      <c r="E5" s="3"/>
      <c r="F5" s="187"/>
      <c r="G5" s="25"/>
    </row>
    <row r="6" spans="1:7">
      <c r="A6" s="317"/>
      <c r="B6" s="3"/>
      <c r="C6" s="3"/>
      <c r="D6" s="147"/>
      <c r="E6" s="3"/>
      <c r="F6" s="3"/>
      <c r="G6" s="25"/>
    </row>
    <row r="7" spans="1:7">
      <c r="A7" s="317"/>
      <c r="B7" s="3"/>
      <c r="C7" s="3"/>
      <c r="D7" s="147"/>
      <c r="E7" s="3"/>
      <c r="F7" s="3"/>
      <c r="G7" s="25"/>
    </row>
    <row r="8" spans="1:7">
      <c r="A8" s="317"/>
      <c r="B8" s="3"/>
      <c r="C8" s="3"/>
      <c r="D8" s="147"/>
      <c r="E8" s="3"/>
      <c r="F8" s="3"/>
      <c r="G8" s="25"/>
    </row>
    <row r="9" spans="1:7" ht="20.100000000000001" customHeight="1">
      <c r="A9" s="317"/>
      <c r="B9" s="320" t="s">
        <v>5</v>
      </c>
      <c r="C9" s="320"/>
      <c r="D9" s="320"/>
      <c r="E9" s="320"/>
      <c r="F9" s="320"/>
      <c r="G9" s="25"/>
    </row>
    <row r="10" spans="1:7" ht="27" customHeight="1">
      <c r="A10" s="317"/>
      <c r="B10" s="321" t="s">
        <v>6</v>
      </c>
      <c r="C10" s="321"/>
      <c r="D10" s="321"/>
      <c r="E10" s="321"/>
      <c r="F10" s="321"/>
      <c r="G10" s="25"/>
    </row>
    <row r="11" spans="1:7" ht="82.5" customHeight="1">
      <c r="A11" s="317"/>
      <c r="B11" s="322"/>
      <c r="C11" s="322"/>
      <c r="D11" s="322"/>
      <c r="E11" s="322"/>
      <c r="F11" s="322"/>
      <c r="G11" s="25"/>
    </row>
    <row r="12" spans="1:7" ht="22.5">
      <c r="A12" s="317"/>
      <c r="B12" s="174" t="s">
        <v>7</v>
      </c>
      <c r="C12" s="175" t="s">
        <v>8</v>
      </c>
      <c r="D12" s="176" t="s">
        <v>9</v>
      </c>
      <c r="E12" s="175" t="s">
        <v>10</v>
      </c>
      <c r="F12" s="175" t="s">
        <v>11</v>
      </c>
      <c r="G12" s="25"/>
    </row>
    <row r="13" spans="1:7" ht="67.5">
      <c r="A13" s="317"/>
      <c r="B13" s="308">
        <v>1</v>
      </c>
      <c r="C13" s="227" t="s">
        <v>12</v>
      </c>
      <c r="D13" s="228">
        <v>44489</v>
      </c>
      <c r="E13" s="227" t="s">
        <v>12728</v>
      </c>
      <c r="F13" s="229" t="s">
        <v>12760</v>
      </c>
      <c r="G13" s="25"/>
    </row>
    <row r="14" spans="1:7" ht="56.25">
      <c r="A14" s="317"/>
      <c r="B14" s="226">
        <v>1.01</v>
      </c>
      <c r="C14" s="227" t="s">
        <v>12</v>
      </c>
      <c r="D14" s="228">
        <v>44523</v>
      </c>
      <c r="E14" s="227" t="s">
        <v>12729</v>
      </c>
      <c r="F14" s="229" t="s">
        <v>12760</v>
      </c>
      <c r="G14" s="25"/>
    </row>
    <row r="15" spans="1:7" ht="56.25">
      <c r="A15" s="317"/>
      <c r="B15" s="226">
        <v>1.02</v>
      </c>
      <c r="C15" s="227" t="s">
        <v>12</v>
      </c>
      <c r="D15" s="228">
        <v>44553</v>
      </c>
      <c r="E15" s="227" t="s">
        <v>12730</v>
      </c>
      <c r="F15" s="229" t="s">
        <v>12760</v>
      </c>
      <c r="G15" s="25"/>
    </row>
    <row r="16" spans="1:7" ht="90">
      <c r="A16" s="317"/>
      <c r="B16" s="226">
        <v>1.1000000000000001</v>
      </c>
      <c r="C16" s="227" t="s">
        <v>12</v>
      </c>
      <c r="D16" s="228">
        <v>44848</v>
      </c>
      <c r="E16" s="227" t="s">
        <v>12754</v>
      </c>
      <c r="F16" s="229" t="s">
        <v>12761</v>
      </c>
      <c r="G16" s="25"/>
    </row>
    <row r="17" spans="1:7" ht="56.25">
      <c r="A17" s="317"/>
      <c r="B17" s="226">
        <v>1.1100000000000001</v>
      </c>
      <c r="C17" s="227" t="s">
        <v>12</v>
      </c>
      <c r="D17" s="228">
        <v>44869</v>
      </c>
      <c r="E17" s="227" t="s">
        <v>12755</v>
      </c>
      <c r="F17" s="229" t="s">
        <v>12761</v>
      </c>
      <c r="G17" s="25"/>
    </row>
    <row r="18" spans="1:7" ht="56.25">
      <c r="A18" s="317"/>
      <c r="B18" s="226">
        <v>1.2</v>
      </c>
      <c r="C18" s="227" t="s">
        <v>12</v>
      </c>
      <c r="D18" s="228">
        <v>45058</v>
      </c>
      <c r="E18" s="227" t="s">
        <v>12815</v>
      </c>
      <c r="F18" s="229" t="s">
        <v>12762</v>
      </c>
      <c r="G18" s="25"/>
    </row>
    <row r="19" spans="1:7" ht="13.5" thickBot="1">
      <c r="A19" s="318"/>
      <c r="B19" s="319" t="str">
        <f ca="1">OFFSET(L!$C$1,MATCH("General"&amp;"Cpy",L!$A:$A,0)-1,SL,,)</f>
        <v>© 2023 Responsible Minerals Initiative. 無断転載・再配布禁止。</v>
      </c>
      <c r="C19" s="319"/>
      <c r="D19" s="319"/>
      <c r="E19" s="319"/>
      <c r="F19" s="319"/>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3"/>
      <c r="B1" s="324"/>
      <c r="C1" s="324"/>
      <c r="D1" s="325"/>
    </row>
    <row r="2" spans="1:8" ht="15">
      <c r="A2" s="177"/>
      <c r="B2" s="178" t="str">
        <f ca="1">OFFSET(L!$C$1,MATCH("Definitions"&amp;ADDRESS(ROW(),COLUMN(),4),L!$A:$A,0)-1,SL,,)</f>
        <v>項目</v>
      </c>
      <c r="C2" s="178" t="str">
        <f ca="1">OFFSET(L!$C$1,MATCH("Definitions"&amp;ADDRESS(ROW(),COLUMN(),4),L!$A:$A,0)-1,SL,,)</f>
        <v>定義</v>
      </c>
      <c r="D2" s="327"/>
      <c r="E2" s="179"/>
    </row>
    <row r="3" spans="1:8" ht="30">
      <c r="A3" s="177"/>
      <c r="B3" s="178" t="str">
        <f ca="1">OFFSET(L!$C$1,MATCH("Definitions"&amp;ADDRESS(ROW(),COLUMN(),4),L!$A:$A,0)-1,SL,,)</f>
        <v>回答責任者</v>
      </c>
      <c r="C3" s="178" t="str">
        <f ca="1">OFFSET(L!$C$1,MATCH("Definitions"&amp;ADDRESS(ROW(),COLUMN(),4),L!$A:$A,0)-1,SL,,)</f>
        <v>この欄は、申告内容の回答責任者を特定します。回答責任者は連絡先と異なる人でもかまいません。「同上」又は同様の表現は避けてください。</v>
      </c>
      <c r="D3" s="327"/>
      <c r="E3" s="180"/>
    </row>
    <row r="4" spans="1:8" ht="60">
      <c r="A4" s="177"/>
      <c r="B4" s="178" t="str">
        <f ca="1">OFFSET(L!$C$1,MATCH("Definitions"&amp;ADDRESS(ROW(),COLUMN(),4),L!$A:$A,0)-1,SL,,)</f>
        <v>コバルト精製業者</v>
      </c>
      <c r="C4" s="178" t="str">
        <f ca="1">OFFSET(L!$C$1,MATCH("Definitions"&amp;ADDRESS(ROW(),COLUMN(),4),L!$A:$A,0)-1,SL,,)</f>
        <v>コバルトの濃縮物、中間物、またはリサイクル材を加工し、川下製造プロセスで直接使用するためのコバルト製品を製造する企業。</v>
      </c>
      <c r="D4" s="327"/>
      <c r="E4" s="180" t="s">
        <v>13</v>
      </c>
    </row>
    <row r="5" spans="1:8" ht="90">
      <c r="A5" s="177"/>
      <c r="B5" s="178" t="str">
        <f ca="1">OFFSET(L!$C$1,MATCH("Definitions"&amp;ADDRESS(ROW(),COLUMN(),4),L!$A:$A,0)-1,SL,,)</f>
        <v>紛争地域および高リスク地域（CAHRA)</v>
      </c>
      <c r="C5" s="178" t="str">
        <f ca="1">OFFSET(L!$C$1,MATCH("Definitions"&amp;ADDRESS(ROW(),COLUMN(),4),L!$A:$A,0)-1,SL,,)</f>
        <v>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v>
      </c>
      <c r="D5" s="327"/>
      <c r="E5" s="180"/>
    </row>
    <row r="6" spans="1:8" ht="135">
      <c r="A6" s="177"/>
      <c r="B6" s="178" t="str">
        <f ca="1">OFFSET(L!$C$1,MATCH("Definitions"&amp;ADDRESS(ROW(),COLUMN(),4),L!$A:$A,0)-1,SL,,)</f>
        <v>申告範囲またはクラス</v>
      </c>
      <c r="C6" s="178" t="str">
        <f ca="1">OFFSET(L!$C$1,MATCH("Definitions"&amp;ADDRESS(ROW(),COLUMN(),4),L!$A:$A,0)-1,SL,,)</f>
        <v>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v>
      </c>
      <c r="D6" s="327"/>
      <c r="E6" s="180" t="s">
        <v>14</v>
      </c>
    </row>
    <row r="7" spans="1:8" ht="75">
      <c r="A7" s="177"/>
      <c r="B7" s="178" t="str">
        <f ca="1">OFFSET(L!$C$1,MATCH("Definitions"&amp;ADDRESS(ROW(),COLUMN(),4),L!$A:$A,0)-1,SL,,)</f>
        <v>デュー・ディリジェンス</v>
      </c>
      <c r="C7" s="178" t="str">
        <f ca="1">OFFSET(L!$C$1,MATCH("Definitions"&amp;ADDRESS(ROW(),COLUMN(),4),L!$A:$A,0)-1,SL,,)</f>
        <v>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v>
      </c>
      <c r="D7" s="327"/>
      <c r="E7" s="180" t="s">
        <v>15</v>
      </c>
    </row>
    <row r="8" spans="1:8" ht="75">
      <c r="A8" s="177"/>
      <c r="B8" s="178" t="str">
        <f ca="1">OFFSET(L!$C$1,MATCH("Definitions"&amp;ADDRESS(ROW(),COLUMN(),4),L!$A:$A,0)-1,SL,,)</f>
        <v>独立第三者監査法人</v>
      </c>
      <c r="C8" s="178" t="str">
        <f ca="1">OFFSET(L!$C$1,MATCH("Definitions"&amp;ADDRESS(ROW(),COLUMN(),4),L!$A:$A,0)-1,SL,,)</f>
        <v>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v>
      </c>
      <c r="D8" s="327"/>
      <c r="E8" s="180" t="s">
        <v>16</v>
      </c>
    </row>
    <row r="9" spans="1:8" ht="45">
      <c r="A9" s="177"/>
      <c r="B9" s="178" t="str">
        <f ca="1">OFFSET(L!$C$1,MATCH("Definitions"&amp;ADDRESS(ROW(),COLUMN(),4),L!$A:$A,0)-1,SL,,)</f>
        <v>意図的な付加</v>
      </c>
      <c r="C9" s="178" t="str">
        <f ca="1">OFFSET(L!$C$1,MATCH("Definitions"&amp;ADDRESS(ROW(),COLUMN(),4),L!$A:$A,0)-1,SL,,)</f>
        <v>意図的な添加とは、通常、製品の特性、外観又は品質を保持するために、製品の製造において継続的に存在することが 望まれる物質（この場合は金属）の計画的な使用として知られている。</v>
      </c>
      <c r="D9" s="327"/>
      <c r="E9" s="180" t="s">
        <v>15</v>
      </c>
      <c r="H9" s="157">
        <v>14</v>
      </c>
    </row>
    <row r="10" spans="1:8" ht="75">
      <c r="A10" s="177"/>
      <c r="B10" s="178" t="str">
        <f ca="1">OFFSET(L!$C$1,MATCH("Definitions"&amp;ADDRESS(ROW(),COLUMN(),4),L!$A:$A,0)-1,SL,,)</f>
        <v>経済協力開発機構（OECD）</v>
      </c>
      <c r="C10" s="178" t="str">
        <f ca="1">OFFSET(L!$C$1,MATCH("Definitions"&amp;ADDRESS(ROW(),COLUMN(),4),L!$A:$A,0)-1,SL,,)</f>
        <v>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v>
      </c>
      <c r="D10" s="327"/>
      <c r="E10" s="180"/>
    </row>
    <row r="11" spans="1:8" ht="36.6" customHeight="1">
      <c r="A11" s="177"/>
      <c r="B11" s="178" t="str">
        <f ca="1">OFFSET(L!$C$1,MATCH("Definitions"&amp;ADDRESS(ROW(),COLUMN(),4),L!$A:$A,0)-1,SL,,)</f>
        <v>マイカ（天然）</v>
      </c>
      <c r="C11" s="178" t="str">
        <f ca="1">OFFSET(L!$C$1,MATCH("Definitions"&amp;ADDRESS(ROW(),COLUMN(),4),L!$A:$A,0)-1,SL,,)</f>
        <v>天然マイカは、白雲母及び金雲母のように、採掘されるか天然に発生する鉱物です。</v>
      </c>
      <c r="D11" s="327"/>
      <c r="E11" s="180" t="s">
        <v>15</v>
      </c>
    </row>
    <row r="12" spans="1:8" ht="37.5" customHeight="1">
      <c r="A12" s="177"/>
      <c r="B12" s="178" t="str">
        <f ca="1">OFFSET(L!$C$1,MATCH("Definitions"&amp;ADDRESS(ROW(),COLUMN(),4),L!$A:$A,0)-1,SL,,)</f>
        <v>マイカ（合成）</v>
      </c>
      <c r="C12" s="178" t="str">
        <f ca="1">OFFSET(L!$C$1,MATCH("Definitions"&amp;ADDRESS(ROW(),COLUMN(),4),L!$A:$A,0)-1,SL,,)</f>
        <v>合成マイカ（フッ素金雲母）は、マグネシウム、アルミニウム及びシリコンのような材料で構成されている人工材料です。</v>
      </c>
      <c r="D12" s="327"/>
      <c r="E12" s="180"/>
    </row>
    <row r="13" spans="1:8" ht="60">
      <c r="A13" s="177"/>
      <c r="B13" s="178" t="str">
        <f ca="1">OFFSET(L!$C$1,MATCH("Definitions"&amp;ADDRESS(ROW(),COLUMN(),4),L!$A:$A,0)-1,SL,,)</f>
        <v>加工業者</v>
      </c>
      <c r="C13" s="178" t="str">
        <f ca="1">OFFSET(L!$C$1,MATCH("Definitions"&amp;ADDRESS(ROW(),COLUMN(),4),L!$A:$A,0)-1,SL,,)</f>
        <v>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v>
      </c>
      <c r="D13" s="327"/>
      <c r="E13" s="180"/>
    </row>
    <row r="14" spans="1:8" ht="30" customHeight="1">
      <c r="A14" s="177"/>
      <c r="B14" s="178" t="str">
        <f ca="1">OFFSET(L!$C$1,MATCH("Definitions"&amp;ADDRESS(ROW(),COLUMN(),4),L!$A:$A,0)-1,SL,,)</f>
        <v>製品</v>
      </c>
      <c r="C14" s="178" t="str">
        <f ca="1">OFFSET(L!$C$1,MATCH("Definitions"&amp;ADDRESS(ROW(),COLUMN(),4),L!$A:$A,0)-1,SL,,)</f>
        <v>企業の製品又は完成品とは、製造や生産の最終段階を終了し、流通又は顧客への販売が可能になっている材料や品目です。</v>
      </c>
      <c r="D14" s="327"/>
      <c r="E14" s="180"/>
    </row>
    <row r="15" spans="1:8" ht="90">
      <c r="A15" s="177"/>
      <c r="B15" s="178" t="str">
        <f ca="1">OFFSET(L!$C$1,MATCH("Definitions"&amp;ADDRESS(ROW(),COLUMN(),4),L!$A:$A,0)-1,SL,,)</f>
        <v>再生利用品又はスクラップ起源
Recycled and Scrap Sources</v>
      </c>
      <c r="C15" s="178" t="str">
        <f ca="1">OFFSET(L!$C$1,MATCH("Definitions"&amp;ADDRESS(ROW(),COLUMN(),4),L!$A:$A,0)-1,SL,,)</f>
        <v>再生利用品又はスクラップ起源とは、再生された最終消費者製品又は使用済み製品である再生コバルト、又は製品製造中に作り出されスクラップ加工されたコバルトです。再生コバルトには、適切な精製又は加工がなされた、過剰分、廃品、不良品及びスクラップのコバルト素材があります。加工中か未加工なコバルト又はその他の鉱石の副産物は、再生コバルトの定義に含まれません。
注：本文書の発行時点で、顕著な使用済みマイカの再生利用はありません。</v>
      </c>
      <c r="D15" s="327"/>
      <c r="E15" s="180"/>
    </row>
    <row r="16" spans="1:8" ht="45">
      <c r="A16" s="177"/>
      <c r="B16" s="178" t="str">
        <f ca="1">OFFSET(L!$C$1,MATCH("Definitions"&amp;ADDRESS(ROW(),COLUMN(),4),L!$A:$A,0)-1,SL,,)</f>
        <v>Responsible Business Alliance (RBA)</v>
      </c>
      <c r="C16" s="178" t="str">
        <f ca="1">OFFSET(L!$C$1,MATCH("Definitions"&amp;ADDRESS(ROW(),COLUMN(),4),L!$A:$A,0)-1,SL,,)</f>
        <v>2004年に設立されたResponsible Business Alliance（RBA）は、責任あるエレクトロニクスサプライチェーン専門の世界最大の産業連合です。
(http://www.responsiblebusiness.org)</v>
      </c>
      <c r="D16" s="327"/>
      <c r="E16" s="180" t="s">
        <v>15</v>
      </c>
    </row>
    <row r="17" spans="1:5" ht="75">
      <c r="A17" s="177"/>
      <c r="B17" s="178" t="str">
        <f ca="1">OFFSET(L!$C$1,MATCH("Definitions"&amp;ADDRESS(ROW(),COLUMN(),4),L!$A:$A,0)-1,SL,,)</f>
        <v>責任ある鉱物保証プロセス (RMAP)　Responsible Minerals Assurance Process(RMAP)</v>
      </c>
      <c r="C17" s="178" t="str">
        <f ca="1">OFFSET(L!$C$1,MATCH("Definitions"&amp;ADDRESS(ROW(),COLUMN(),4),L!$A:$A,0)-1,SL,,)</f>
        <v>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v>
      </c>
      <c r="D17" s="327"/>
      <c r="E17" s="180" t="s">
        <v>16</v>
      </c>
    </row>
    <row r="18" spans="1:5" ht="90">
      <c r="A18" s="177"/>
      <c r="B18" s="178" t="str">
        <f ca="1">OFFSET(L!$C$1,MATCH("Definitions"&amp;ADDRESS(ROW(),COLUMN(),4),L!$A:$A,0)-1,SL,,)</f>
        <v>責任ある鉱物イニシアチブ(RMI) Responsible Minerals Initiative (RMI)</v>
      </c>
      <c r="C18" s="178" t="str">
        <f ca="1">OFFSET(L!$C$1,MATCH("Definitions"&amp;ADDRESS(ROW(),COLUMN(),4),L!$A:$A,0)-1,SL,,)</f>
        <v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v>
      </c>
      <c r="D18" s="327"/>
      <c r="E18" s="180"/>
    </row>
    <row r="19" spans="1:5" ht="120">
      <c r="A19" s="177"/>
      <c r="B19" s="178" t="str">
        <f ca="1">OFFSET(L!$C$1,MATCH("Definitions"&amp;ADDRESS(ROW(),COLUMN(),4),L!$A:$A,0)-1,SL,,)</f>
        <v>RMAP適合製錬業者リスト</v>
      </c>
      <c r="C19" s="178" t="str">
        <f ca="1">OFFSET(L!$C$1,MATCH("Definitions"&amp;ADDRESS(ROW(),COLUMN(),4),L!$A:$A,0)-1,SL,,)</f>
        <v>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v>
      </c>
      <c r="D19" s="327"/>
      <c r="E19" s="180" t="s">
        <v>15</v>
      </c>
    </row>
    <row r="20" spans="1:5" ht="60">
      <c r="A20" s="177"/>
      <c r="B20" s="178" t="str">
        <f ca="1">OFFSET(L!$C$1,MATCH("Definitions"&amp;ADDRESS(ROW(),COLUMN(),4),L!$A:$A,0)-1,SL,,)</f>
        <v>製錬業者</v>
      </c>
      <c r="C20" s="178" t="str">
        <f ca="1">OFFSET(L!$C$1,MATCH("Definitions"&amp;ADDRESS(ROW(),COLUMN(),4),L!$A:$A,0)-1,SL,,)</f>
        <v>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v>
      </c>
      <c r="D20" s="327"/>
      <c r="E20" s="180" t="s">
        <v>13</v>
      </c>
    </row>
    <row r="21" spans="1:5" ht="45">
      <c r="A21" s="177"/>
      <c r="B21" s="178" t="str">
        <f ca="1">OFFSET(L!$C$1,MATCH("Definitions"&amp;ADDRESS(ROW(),COLUMN(),4),L!$A:$A,0)-1,SL,,)</f>
        <v>製錬業者識別番号</v>
      </c>
      <c r="C21" s="178" t="str">
        <f ca="1">OFFSET(L!$C$1,MATCH("Definitions"&amp;ADDRESS(ROW(),COLUMN(),4),L!$A:$A,0)-1,SL,,)</f>
        <v>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v>
      </c>
      <c r="D21" s="327"/>
      <c r="E21" s="180"/>
    </row>
    <row r="22" spans="1:5" ht="15">
      <c r="A22" s="177"/>
      <c r="B22" s="326" t="str">
        <f ca="1">OFFSET(L!$C$1,MATCH("General"&amp;"Cpy",L!$A:$A,0)-1,SL,,)</f>
        <v>© 2023 Responsible Minerals Initiative. 無断転載・再配布禁止。</v>
      </c>
      <c r="C22" s="326"/>
      <c r="D22" s="327"/>
      <c r="E22" s="180"/>
    </row>
    <row r="23" spans="1:5" ht="13.5" thickBot="1">
      <c r="A23" s="181"/>
      <c r="B23" s="182"/>
      <c r="C23" s="182"/>
      <c r="D23" s="328"/>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zoomScale="80" zoomScaleNormal="80" workbookViewId="0">
      <selection activeCell="F22" sqref="F2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9"/>
      <c r="B1" s="350"/>
      <c r="C1" s="350"/>
      <c r="D1" s="350"/>
      <c r="E1" s="350"/>
      <c r="F1" s="350"/>
      <c r="G1" s="350"/>
      <c r="H1" s="350"/>
      <c r="I1" s="350"/>
      <c r="J1" s="350"/>
      <c r="K1" s="351"/>
      <c r="L1" s="103"/>
      <c r="P1" s="3"/>
      <c r="Q1" s="3"/>
      <c r="R1" s="3"/>
      <c r="S1" s="3"/>
      <c r="T1" s="3"/>
      <c r="U1" s="3"/>
      <c r="V1" s="3"/>
      <c r="W1" s="3"/>
      <c r="X1" s="3"/>
      <c r="Y1" s="3"/>
      <c r="Z1" s="3"/>
      <c r="AA1" s="3"/>
      <c r="AB1" s="3"/>
      <c r="AC1" s="3"/>
      <c r="AD1" s="3"/>
      <c r="AE1" s="3"/>
      <c r="AF1" s="3"/>
      <c r="AG1" s="3"/>
      <c r="AH1" s="3"/>
    </row>
    <row r="2" spans="1:34" ht="81.75" customHeight="1">
      <c r="A2" s="28"/>
      <c r="B2" s="304"/>
      <c r="C2" s="29"/>
      <c r="D2" s="352" t="str">
        <f ca="1">OFFSET(L!$C$1,MATCH("Declaration"&amp;ADDRESS(ROW(),COLUMN(),4),L!$A:$A,0)-1,SL,,)</f>
        <v>拡張鉱物報告テンプレート（EMRT）</v>
      </c>
      <c r="E2" s="353"/>
      <c r="F2" s="353"/>
      <c r="G2" s="353"/>
      <c r="H2" s="353"/>
      <c r="I2" s="353"/>
      <c r="J2" s="35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386</v>
      </c>
      <c r="E3" s="333"/>
      <c r="F3" s="334"/>
      <c r="G3" s="334"/>
      <c r="H3" s="334"/>
      <c r="I3" s="334"/>
      <c r="J3" s="191" t="s">
        <v>12817</v>
      </c>
      <c r="K3" s="30"/>
      <c r="L3" s="103"/>
      <c r="P3" s="39">
        <f>MATCH($D$3,LN,0)</f>
        <v>3</v>
      </c>
    </row>
    <row r="4" spans="1:34" ht="15.75">
      <c r="A4" s="28"/>
      <c r="B4" s="361" t="str">
        <f ca="1">OFFSET(L!$C$1,MATCH("Declaration"&amp;ADDRESS(ROW(),COLUMN(),4),L!$A:$A,0)-1,SL,,)</f>
        <v>この文書の目的は、製品に使用される特定の原材料、特にコバルト又は天然マイカの調達先情報を収集することです</v>
      </c>
      <c r="C4" s="361"/>
      <c r="D4" s="361"/>
      <c r="E4" s="361"/>
      <c r="F4" s="361"/>
      <c r="G4" s="361"/>
      <c r="H4" s="361"/>
      <c r="I4" s="366" t="str">
        <f ca="1">OFFSET(L!$C$1,MATCH("Declaration"&amp;ADDRESS(ROW(),COLUMN(),4),L!$A:$A,0)-1,SL,,)</f>
        <v>利用規約へのリンク</v>
      </c>
      <c r="J4" s="366"/>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1" t="str">
        <f ca="1">OFFSET(L!$C$1,MATCH("Declaration"&amp;ADDRESS(ROW(),COLUMN(),4),L!$A:$A,0)-1,SL,,)</f>
        <v>必須項目は（*）で表示。各質問の回答方法については、「説明（Instructions）」タブを参照してください。</v>
      </c>
      <c r="C6" s="361"/>
      <c r="D6" s="361"/>
      <c r="E6" s="361"/>
      <c r="F6" s="361"/>
      <c r="G6" s="361"/>
      <c r="H6" s="361"/>
      <c r="I6" s="361"/>
      <c r="J6" s="361"/>
      <c r="K6" s="30"/>
      <c r="L6" s="105" t="s">
        <v>19</v>
      </c>
      <c r="P6" s="3"/>
      <c r="Q6" s="3"/>
      <c r="R6" s="3"/>
      <c r="S6" s="3"/>
      <c r="T6" s="3"/>
      <c r="U6" s="3"/>
      <c r="V6" s="3"/>
      <c r="W6" s="3"/>
      <c r="X6" s="3"/>
      <c r="Y6" s="3"/>
      <c r="Z6" s="3"/>
      <c r="AA6" s="3"/>
      <c r="AB6" s="3"/>
      <c r="AC6" s="3"/>
      <c r="AD6" s="3"/>
      <c r="AE6" s="3"/>
      <c r="AF6" s="3"/>
      <c r="AG6" s="3"/>
      <c r="AH6" s="3"/>
    </row>
    <row r="7" spans="1:34" ht="15.75">
      <c r="A7" s="28"/>
      <c r="B7" s="367" t="str">
        <f ca="1">OFFSET(L!$C$1,MATCH("Declaration"&amp;ADDRESS(ROW(),COLUMN(),4),L!$A:$A,0)-1,SL,,)</f>
        <v>会社情報</v>
      </c>
      <c r="C7" s="367"/>
      <c r="D7" s="367"/>
      <c r="E7" s="367"/>
      <c r="F7" s="367"/>
      <c r="G7" s="367"/>
      <c r="H7" s="367"/>
      <c r="I7" s="367"/>
      <c r="J7" s="367"/>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会社名(*):</v>
      </c>
      <c r="C8" s="67"/>
      <c r="D8" s="355" t="s">
        <v>12825</v>
      </c>
      <c r="E8" s="356"/>
      <c r="F8" s="356"/>
      <c r="G8" s="356"/>
      <c r="H8" s="356"/>
      <c r="I8" s="356"/>
      <c r="J8" s="35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申告範囲又はクラス(*):</v>
      </c>
      <c r="C9" s="67"/>
      <c r="D9" s="376" t="s">
        <v>21</v>
      </c>
      <c r="E9" s="377"/>
      <c r="F9" s="377"/>
      <c r="G9" s="378"/>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68" t="str">
        <f ca="1">OFFSET(L!$C$1,MATCH("Declaration"&amp;ADDRESS(ROW(),COLUMN(),4)&amp;LEFT($D$9,1),L!$A:$A,0)-1,SL,,)</f>
        <v>この申告に適用される製品は製品一覧表(Product List)のシートに移動して入力</v>
      </c>
      <c r="C10" s="113"/>
      <c r="D10" s="362"/>
      <c r="E10" s="363"/>
      <c r="F10" s="363"/>
      <c r="G10" s="363"/>
      <c r="H10" s="363"/>
      <c r="I10" s="363"/>
      <c r="J10" s="364"/>
      <c r="K10" s="30"/>
      <c r="L10" s="105"/>
      <c r="Q10" s="3"/>
      <c r="R10" s="3"/>
      <c r="S10" s="3"/>
      <c r="T10" s="3"/>
      <c r="U10" s="3"/>
      <c r="V10" s="3"/>
      <c r="W10" s="3"/>
      <c r="X10" s="3"/>
      <c r="Y10" s="3"/>
      <c r="Z10" s="3"/>
      <c r="AA10" s="3"/>
      <c r="AB10" s="3"/>
      <c r="AC10" s="3"/>
      <c r="AD10" s="3"/>
      <c r="AE10" s="3"/>
      <c r="AF10" s="3"/>
      <c r="AG10" s="3"/>
      <c r="AH10" s="3"/>
    </row>
    <row r="11" spans="1:34" ht="15">
      <c r="A11" s="32"/>
      <c r="B11" s="369"/>
      <c r="C11" s="113"/>
      <c r="D11" s="370" t="str">
        <f ca="1">IF(D9=Q9,OFFSET(L!$C$1,MATCH("Declaration"&amp;ADDRESS(ROW(),COLUMN(),4),L!$A:$A,0)-1,SL,,),"")</f>
        <v>クリックして、この申告が適用される製品を入力してください</v>
      </c>
      <c r="E11" s="371"/>
      <c r="F11" s="371"/>
      <c r="G11" s="371"/>
      <c r="H11" s="371"/>
      <c r="I11" s="371"/>
      <c r="J11" s="372"/>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会社固有の識別番号:</v>
      </c>
      <c r="C12" s="68"/>
      <c r="D12" s="365"/>
      <c r="E12" s="359"/>
      <c r="F12" s="359"/>
      <c r="G12" s="359"/>
      <c r="H12" s="359"/>
      <c r="I12" s="359"/>
      <c r="J12" s="360"/>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会社固有の識別番号の発行元</v>
      </c>
      <c r="C13" s="68"/>
      <c r="D13" s="365"/>
      <c r="E13" s="359"/>
      <c r="F13" s="359"/>
      <c r="G13" s="359"/>
      <c r="H13" s="359"/>
      <c r="I13" s="359"/>
      <c r="J13" s="360"/>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住所:</v>
      </c>
      <c r="C14" s="68"/>
      <c r="D14" s="310" t="s">
        <v>12819</v>
      </c>
      <c r="E14" s="311"/>
      <c r="F14" s="311"/>
      <c r="G14" s="311"/>
      <c r="H14" s="311"/>
      <c r="I14" s="311"/>
      <c r="J14" s="312"/>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連絡先担当者名(*):</v>
      </c>
      <c r="C15" s="68"/>
      <c r="D15" s="313" t="s">
        <v>12820</v>
      </c>
      <c r="E15" s="314"/>
      <c r="F15" s="314"/>
      <c r="G15" s="314"/>
      <c r="H15" s="314"/>
      <c r="I15" s="314"/>
      <c r="J15" s="30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連絡先担当者の電子メール(*):</v>
      </c>
      <c r="C16" s="68"/>
      <c r="D16" s="343" t="s">
        <v>12821</v>
      </c>
      <c r="E16" s="344"/>
      <c r="F16" s="344"/>
      <c r="G16" s="344"/>
      <c r="H16" s="344"/>
      <c r="I16" s="344"/>
      <c r="J16" s="345"/>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連絡先担当者の電話番号(*):</v>
      </c>
      <c r="C17" s="68"/>
      <c r="D17" s="343" t="s">
        <v>12822</v>
      </c>
      <c r="E17" s="344"/>
      <c r="F17" s="344"/>
      <c r="G17" s="344"/>
      <c r="H17" s="344"/>
      <c r="I17" s="344"/>
      <c r="J17" s="34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回答責任者名(*):</v>
      </c>
      <c r="C18" s="68"/>
      <c r="D18" s="358" t="s">
        <v>12823</v>
      </c>
      <c r="E18" s="359"/>
      <c r="F18" s="359"/>
      <c r="G18" s="359"/>
      <c r="H18" s="359"/>
      <c r="I18" s="359"/>
      <c r="J18" s="360"/>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回答責任者の役職:</v>
      </c>
      <c r="C19" s="68"/>
      <c r="D19" s="358" t="s">
        <v>12824</v>
      </c>
      <c r="E19" s="359"/>
      <c r="F19" s="359"/>
      <c r="G19" s="359"/>
      <c r="H19" s="359"/>
      <c r="I19" s="359"/>
      <c r="J19" s="360"/>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回答責任者の電子メール(*):</v>
      </c>
      <c r="C20" s="68"/>
      <c r="D20" s="346" t="s">
        <v>12821</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回答責任者の電話番号:</v>
      </c>
      <c r="C21" s="125"/>
      <c r="D21" s="384" t="s">
        <v>12822</v>
      </c>
      <c r="E21" s="385"/>
      <c r="F21" s="385"/>
      <c r="G21" s="385"/>
      <c r="H21" s="385"/>
      <c r="I21" s="385"/>
      <c r="J21" s="38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 xml:space="preserve"> 記入日(*):</v>
      </c>
      <c r="C22" s="69"/>
      <c r="D22" s="382">
        <v>45114</v>
      </c>
      <c r="E22" s="38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5"/>
      <c r="E23" s="37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9" t="str">
        <f ca="1">OFFSET(L!$C$1,MATCH("Declaration"&amp;ADDRESS(ROW(),COLUMN(),4),L!$A:$A,0)-1,SL,,)</f>
        <v>上記の申告範囲にもとづいて、以下の1～7の質問にお答えください</v>
      </c>
      <c r="C24" s="329"/>
      <c r="D24" s="329"/>
      <c r="E24" s="329"/>
      <c r="F24" s="329"/>
      <c r="G24" s="329"/>
      <c r="H24" s="329"/>
      <c r="I24" s="329"/>
      <c r="J24" s="329"/>
      <c r="K24" s="37"/>
      <c r="L24" s="100"/>
      <c r="P24" s="3"/>
      <c r="Q24" s="3"/>
      <c r="R24" s="3"/>
      <c r="S24" s="3"/>
      <c r="T24" s="3"/>
      <c r="U24" s="3"/>
      <c r="V24" s="3"/>
      <c r="W24" s="3"/>
      <c r="X24" s="3"/>
      <c r="Y24" s="3"/>
      <c r="Z24" s="3"/>
      <c r="AA24" s="3"/>
      <c r="AB24" s="3"/>
      <c r="AC24" s="3"/>
      <c r="AD24" s="3"/>
      <c r="AE24" s="3"/>
      <c r="AF24" s="3"/>
      <c r="AG24" s="3"/>
      <c r="AH24" s="3"/>
    </row>
    <row r="25" spans="1:34" ht="47.25">
      <c r="A25" s="35"/>
      <c r="B25" s="38" t="str">
        <f ca="1">OFFSET(L!$C$1,MATCH("Declaration"&amp;ADDRESS(ROW(),COLUMN(),4),L!$A:$A,0)-1,SL,,)</f>
        <v xml:space="preserve">1）製品自体や製造過程で、コバルト又は天然マイカが意図的に添加又は使用されていますか？ （*）
</v>
      </c>
      <c r="C25" s="14"/>
      <c r="D25" s="381" t="str">
        <f ca="1">OFFSET(L!$C$1,MATCH("Declaration"&amp;ADDRESS(ROW(),COLUMN(),4),L!$A:$A,0)-1,SL,,)</f>
        <v>回答</v>
      </c>
      <c r="E25" s="381"/>
      <c r="F25" s="15"/>
      <c r="G25" s="38" t="str">
        <f ca="1">OFFSET(L!$C$1,MATCH("Declaration"&amp;ADDRESS(ROW(),COLUMN(),4),L!$A:$A,0)-1,SL,,)</f>
        <v>備考</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コバルト</v>
      </c>
      <c r="C26" s="29"/>
      <c r="D26" s="335" t="s">
        <v>23</v>
      </c>
      <c r="E26" s="336"/>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マイカ</v>
      </c>
      <c r="C27" s="29"/>
      <c r="D27" s="335" t="s">
        <v>23</v>
      </c>
      <c r="E27" s="336"/>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1" t="s">
        <v>23</v>
      </c>
      <c r="E28" s="342"/>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9" t="s">
        <v>23</v>
      </c>
      <c r="E29" s="38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2）コバルト又は天然マイカは製品に残留していますか？</v>
      </c>
      <c r="C31" s="14"/>
      <c r="D31" s="373" t="str">
        <f ca="1">D25</f>
        <v>回答</v>
      </c>
      <c r="E31" s="373"/>
      <c r="F31" s="15"/>
      <c r="G31" s="38" t="str">
        <f ca="1">G25</f>
        <v>備考</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コバルト</v>
      </c>
      <c r="C32" s="29"/>
      <c r="D32" s="335"/>
      <c r="E32" s="336"/>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マイカ</v>
      </c>
      <c r="C33" s="29"/>
      <c r="D33" s="335"/>
      <c r="E33" s="336"/>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1" t="s">
        <v>23</v>
      </c>
      <c r="E34" s="342"/>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1" t="s">
        <v>23</v>
      </c>
      <c r="E35" s="342"/>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貴社サプライチェーン内の製錬業者又は加工業者のいずれかが、紛争地域および高リスク地域をコバルト又は天然マイカの原産地としていますか？（OECDデュー・ディリジェンスガイダンスの「定義（Definitions）」タブを参照） (*)
</v>
      </c>
      <c r="C37" s="7"/>
      <c r="D37" s="373" t="str">
        <f ca="1">D25</f>
        <v>回答</v>
      </c>
      <c r="E37" s="373"/>
      <c r="F37" s="15"/>
      <c r="G37" s="38" t="str">
        <f ca="1">G25</f>
        <v>備考</v>
      </c>
      <c r="H37" s="374"/>
      <c r="I37" s="374"/>
      <c r="J37" s="374"/>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コバルト</v>
      </c>
      <c r="C38" s="7"/>
      <c r="D38" s="335"/>
      <c r="E38" s="336"/>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マイカ</v>
      </c>
      <c r="C39" s="7"/>
      <c r="D39" s="335"/>
      <c r="E39" s="336"/>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5"/>
      <c r="E40" s="336"/>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5"/>
      <c r="E41" s="336"/>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4）コバルトは全て、再生利用品又はスクラップ起源から調達していますか？</v>
      </c>
      <c r="C43" s="7"/>
      <c r="D43" s="373" t="str">
        <f ca="1">D25</f>
        <v>回答</v>
      </c>
      <c r="E43" s="373"/>
      <c r="F43" s="15"/>
      <c r="G43" s="38" t="str">
        <f ca="1">G25</f>
        <v>備考</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コバルト</v>
      </c>
      <c r="C44" s="7"/>
      <c r="D44" s="335"/>
      <c r="E44" s="336"/>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5"/>
      <c r="E45" s="336"/>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1"/>
      <c r="E46" s="342"/>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1"/>
      <c r="E47" s="342"/>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5）サプライチェーン調査に回答した関連するサプライヤーは何パーセントですか？</v>
      </c>
      <c r="C49" s="7"/>
      <c r="D49" s="373" t="str">
        <f ca="1">D25</f>
        <v>回答</v>
      </c>
      <c r="E49" s="373"/>
      <c r="F49" s="15"/>
      <c r="G49" s="38" t="str">
        <f ca="1">G25</f>
        <v>備考</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コバルト</v>
      </c>
      <c r="C50" s="29"/>
      <c r="D50" s="339"/>
      <c r="E50" s="34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マイカ</v>
      </c>
      <c r="C51" s="29"/>
      <c r="D51" s="339"/>
      <c r="E51" s="34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7"/>
      <c r="E52" s="338"/>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7"/>
      <c r="E53" s="338"/>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6）貴社のサプライチェーンにコバルト又は天然マイカを供給する全ての製錬業者又は加工業者を特定しましたか？</v>
      </c>
      <c r="C55" s="7"/>
      <c r="D55" s="373" t="str">
        <f ca="1">D25</f>
        <v>回答</v>
      </c>
      <c r="E55" s="373"/>
      <c r="F55" s="15"/>
      <c r="G55" s="38" t="str">
        <f ca="1">G25</f>
        <v>備考</v>
      </c>
      <c r="H55" s="387"/>
      <c r="I55" s="387"/>
      <c r="J55" s="387"/>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コバルト</v>
      </c>
      <c r="C56" s="7"/>
      <c r="D56" s="390"/>
      <c r="E56" s="391"/>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マイカ</v>
      </c>
      <c r="C57" s="7"/>
      <c r="D57" s="335"/>
      <c r="E57" s="336"/>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1"/>
      <c r="E58" s="342"/>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1"/>
      <c r="E59" s="342"/>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7）貴社は受領した該当する全ての製錬業者又は加工業者情報を、この申告で報告していますか？</v>
      </c>
      <c r="C61" s="7"/>
      <c r="D61" s="373" t="str">
        <f ca="1">D25</f>
        <v>回答</v>
      </c>
      <c r="E61" s="373"/>
      <c r="F61" s="15"/>
      <c r="G61" s="38" t="str">
        <f ca="1">G25</f>
        <v>備考</v>
      </c>
      <c r="H61" s="387" t="str">
        <f>IF(Q69="(*)","Click here to enter smelter names","")</f>
        <v/>
      </c>
      <c r="I61" s="387"/>
      <c r="J61" s="387"/>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コバルト</v>
      </c>
      <c r="C62" s="29"/>
      <c r="D62" s="335"/>
      <c r="E62" s="336"/>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マイカ</v>
      </c>
      <c r="C63" s="29"/>
      <c r="D63" s="335"/>
      <c r="E63" s="336"/>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1"/>
      <c r="E64" s="342"/>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1"/>
      <c r="E65" s="342"/>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6" t="str">
        <f ca="1">OFFSET(L!$C$1,MATCH("Declaration"&amp;ADDRESS(ROW(),COLUMN(),4),L!$A:$A,0)-1,SL,,)</f>
        <v>会社レベルで以下の質問にお答えください</v>
      </c>
      <c r="C67" s="396"/>
      <c r="D67" s="396"/>
      <c r="E67" s="396"/>
      <c r="F67" s="396"/>
      <c r="G67" s="396"/>
      <c r="H67" s="396"/>
      <c r="I67" s="396"/>
      <c r="J67" s="396"/>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質問</v>
      </c>
      <c r="C68" s="72"/>
      <c r="D68" s="381" t="str">
        <f ca="1">D25</f>
        <v>回答</v>
      </c>
      <c r="E68" s="381"/>
      <c r="F68" s="47"/>
      <c r="G68" s="381" t="str">
        <f ca="1">G25</f>
        <v>備考</v>
      </c>
      <c r="H68" s="381" t="e">
        <f>HLOOKUP(SL,LT,$O68,0)</f>
        <v>#NAME?</v>
      </c>
      <c r="I68" s="38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責任ある鉱物調達方針を確定しましたか？</v>
      </c>
      <c r="C69" s="51"/>
      <c r="D69" s="335"/>
      <c r="E69" s="336"/>
      <c r="F69" s="51"/>
      <c r="G69" s="330"/>
      <c r="H69" s="331"/>
      <c r="I69" s="331"/>
      <c r="J69" s="332"/>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9"/>
      <c r="H70" s="389"/>
      <c r="I70" s="389"/>
      <c r="J70" s="389"/>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B.その責任ある鉱物調達方針は、貴社のホームページで閲覧できますか？（回答が「はい」の場合、その方針が掲載されているURLをコメント欄に記入する）</v>
      </c>
      <c r="C71" s="51"/>
      <c r="D71" s="335"/>
      <c r="E71" s="336"/>
      <c r="F71" s="51"/>
      <c r="G71" s="398"/>
      <c r="H71" s="399"/>
      <c r="I71" s="399"/>
      <c r="J71" s="400"/>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貴社は直接サプライヤーに対し、独立民間監査会社の監査プログラムによりデュー・ディリジェンス業務が認証された製錬業者からコバルトを、また認証された加工業者から天然マイカを調達することを要求していますか？</v>
      </c>
      <c r="C73" s="233"/>
      <c r="D73" s="395"/>
      <c r="E73" s="395"/>
      <c r="F73" s="236"/>
      <c r="G73" s="388"/>
      <c r="H73" s="388"/>
      <c r="I73" s="388"/>
      <c r="J73" s="38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コバルト</v>
      </c>
      <c r="C74" s="29"/>
      <c r="D74" s="335"/>
      <c r="E74" s="336"/>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マイカ</v>
      </c>
      <c r="C75" s="29"/>
      <c r="D75" s="335"/>
      <c r="E75" s="336"/>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 xml:space="preserve">D. 責任ある鉱物調達のためのデュー・ディリジェンス対策を実施していますか？
</v>
      </c>
      <c r="C77" s="51"/>
      <c r="D77" s="335"/>
      <c r="E77" s="336"/>
      <c r="F77" s="51"/>
      <c r="G77" s="330"/>
      <c r="H77" s="331"/>
      <c r="I77" s="331"/>
      <c r="J77" s="332"/>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E.貴社は関連するサプライヤーのコバルト及び／又は天然マイカサプライチェーン調査を行っていますか？</v>
      </c>
      <c r="C79" s="51"/>
      <c r="D79" s="343"/>
      <c r="E79" s="345"/>
      <c r="F79" s="51"/>
      <c r="G79" s="330"/>
      <c r="H79" s="331"/>
      <c r="I79" s="331"/>
      <c r="J79" s="332"/>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89"/>
      <c r="H80" s="389"/>
      <c r="I80" s="389"/>
      <c r="J80" s="389"/>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F.サプライヤーからのデュー・ディリジェンス情報を貴社の期待を基に検証していますか？</v>
      </c>
      <c r="C81" s="51"/>
      <c r="D81" s="335"/>
      <c r="E81" s="336"/>
      <c r="F81" s="51"/>
      <c r="G81" s="330"/>
      <c r="H81" s="331"/>
      <c r="I81" s="331"/>
      <c r="J81" s="332"/>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97"/>
      <c r="H82" s="397"/>
      <c r="I82" s="397"/>
      <c r="J82" s="39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貴社の検証プロセスには是正措置管理が含まれていますか？</v>
      </c>
      <c r="C83" s="51"/>
      <c r="D83" s="335"/>
      <c r="E83" s="336"/>
      <c r="F83" s="51"/>
      <c r="G83" s="330"/>
      <c r="H83" s="331"/>
      <c r="I83" s="331"/>
      <c r="J83" s="332"/>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94" t="str">
        <f>IF(OR($D$8="",$I$3=""),"","Click here to check required fields completion")</f>
        <v/>
      </c>
      <c r="C84" s="394"/>
      <c r="D84" s="394"/>
      <c r="E84" s="394"/>
      <c r="F84" s="394"/>
      <c r="G84" s="394"/>
      <c r="H84" s="394"/>
      <c r="I84" s="394"/>
      <c r="J84" s="394"/>
      <c r="K84" s="30"/>
      <c r="L84" s="103"/>
      <c r="P84" s="3"/>
      <c r="Q84" s="3"/>
      <c r="R84" s="3"/>
      <c r="S84" s="3"/>
      <c r="T84" s="3"/>
      <c r="U84" s="3"/>
      <c r="V84" s="3"/>
      <c r="W84" s="3"/>
      <c r="X84" s="3"/>
      <c r="Y84" s="3">
        <v>86</v>
      </c>
      <c r="Z84" s="3"/>
      <c r="AA84" s="3"/>
      <c r="AB84" s="3"/>
      <c r="AC84" s="3"/>
      <c r="AD84" s="3"/>
      <c r="AE84" s="3"/>
      <c r="AF84" s="3"/>
      <c r="AG84" s="3"/>
      <c r="AH84" s="3"/>
    </row>
    <row r="85" spans="1:34" ht="15.75" thickBot="1">
      <c r="A85" s="392" t="str">
        <f ca="1">OFFSET(L!$C$1,MATCH("General"&amp;"Cpy",L!$A:$A,0)-1,SL,,)</f>
        <v>© 2023 Responsible Minerals Initiative. 無断転載・再配布禁止。</v>
      </c>
      <c r="B85" s="393"/>
      <c r="C85" s="393"/>
      <c r="D85" s="393"/>
      <c r="E85" s="393"/>
      <c r="F85" s="393"/>
      <c r="G85" s="393"/>
      <c r="H85" s="393"/>
      <c r="I85" s="393"/>
      <c r="J85" s="393"/>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5">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3:J13"/>
    <mergeCell ref="I4:J4"/>
    <mergeCell ref="B7:J7"/>
    <mergeCell ref="B10:B11"/>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9" priority="26">
      <formula>IF($D$28="No",TRUE)</formula>
    </cfRule>
  </conditionalFormatting>
  <conditionalFormatting sqref="D29 D41 D47 D53 D59 D65">
    <cfRule type="expression" dxfId="78" priority="25">
      <formula>IF($D$29="No",TRUE)</formula>
    </cfRule>
  </conditionalFormatting>
  <conditionalFormatting sqref="D34">
    <cfRule type="expression" dxfId="77" priority="17">
      <formula>IF($D$28="No",TRUE)</formula>
    </cfRule>
  </conditionalFormatting>
  <conditionalFormatting sqref="D35">
    <cfRule type="expression" dxfId="76" priority="16">
      <formula>IF($D$29="No",TRUE)</formula>
    </cfRule>
  </conditionalFormatting>
  <conditionalFormatting sqref="D40 D46 D52 D58 D64">
    <cfRule type="expression" dxfId="75" priority="155" stopIfTrue="1">
      <formula>IF(AND(OR($D$28="Yes",$D$28=""),D40=""),1,0)</formula>
    </cfRule>
  </conditionalFormatting>
  <conditionalFormatting sqref="D22:E22">
    <cfRule type="expression" dxfId="74" priority="152" stopIfTrue="1">
      <formula>IF($D$22="",TRUE)</formula>
    </cfRule>
  </conditionalFormatting>
  <conditionalFormatting sqref="D26:E26">
    <cfRule type="expression" dxfId="73" priority="130" stopIfTrue="1">
      <formula>IF($D$26="",TRUE)</formula>
    </cfRule>
  </conditionalFormatting>
  <conditionalFormatting sqref="D27:E27">
    <cfRule type="expression" dxfId="72" priority="137" stopIfTrue="1">
      <formula>IF($D$27="",TRUE)</formula>
    </cfRule>
  </conditionalFormatting>
  <conditionalFormatting sqref="D32:E32">
    <cfRule type="expression" dxfId="71" priority="15" stopIfTrue="1">
      <formula>IF(AND(OR($D$26="Yes",$D$26=""),$D$32=""),1,0)</formula>
    </cfRule>
    <cfRule type="expression" dxfId="70" priority="19" stopIfTrue="1">
      <formula>IF($P$26="",TRUE)</formula>
    </cfRule>
  </conditionalFormatting>
  <conditionalFormatting sqref="D33:E33">
    <cfRule type="expression" dxfId="69" priority="18" stopIfTrue="1">
      <formula>IF(AND(OR($D$27="Yes",$D$27=""),$D$33=""),1,0)</formula>
    </cfRule>
    <cfRule type="expression" dxfId="68" priority="20" stopIfTrue="1">
      <formula>IF($P$27="",TRUE)</formula>
    </cfRule>
  </conditionalFormatting>
  <conditionalFormatting sqref="D38:E38 D44:E44 D50:E50 D56:E56 D62:E62">
    <cfRule type="expression" dxfId="67" priority="46" stopIfTrue="1">
      <formula>IF(AND(OR($D$26="No",$D$26="Unknown",$D$26="Not applicable for this declaration",$D$32="No",$D$32="Unknown"),D38=""),1,0)</formula>
    </cfRule>
    <cfRule type="expression" dxfId="66" priority="47" stopIfTrue="1">
      <formula>IF(AND(OR($D$26="Yes",$D$26=""),D38=""),1,0)</formula>
    </cfRule>
  </conditionalFormatting>
  <conditionalFormatting sqref="D39:E39 D45:E45 D51:E51 D57:E57 D63:E63">
    <cfRule type="expression" dxfId="65" priority="154" stopIfTrue="1">
      <formula>IF(AND(OR($D$27="Yes",$D$27=""),D39=""),1,0)</formula>
    </cfRule>
    <cfRule type="expression" dxfId="64" priority="153" stopIfTrue="1">
      <formula>IF(AND(OR($D$27="No",$D$27="Unknown",$D$27="Not applicable for this declaration",$D$33="No",$D$33="Unknown"),D39=""),1,0)</formula>
    </cfRule>
  </conditionalFormatting>
  <conditionalFormatting sqref="D40:E40 D46:E46 D52:E52 D58:E58 D64:E64">
    <cfRule type="expression" dxfId="63" priority="42" stopIfTrue="1">
      <formula>$P$28=""</formula>
    </cfRule>
  </conditionalFormatting>
  <conditionalFormatting sqref="D41:E41 D47:E47 D53:E53 D59:E59 D65:E65">
    <cfRule type="expression" dxfId="62" priority="157" stopIfTrue="1">
      <formula>$P$29=""</formula>
    </cfRule>
    <cfRule type="expression" dxfId="61" priority="158" stopIfTrue="1">
      <formula>IF(AND(OR($D$29="Yes",$D$29=""),D41=""),1,0)</formula>
    </cfRule>
  </conditionalFormatting>
  <conditionalFormatting sqref="D69:E69 D71:E71 D77:E77 D79:E79 D81:E81 D83:E83">
    <cfRule type="expression" dxfId="60" priority="10" stopIfTrue="1">
      <formula>IF(D69="",TRUE)</formula>
    </cfRule>
    <cfRule type="expression" dxfId="59" priority="9" stopIfTrue="1">
      <formula>AND(OR($D$26="No",$D$26="Unknown",$D$26="Not applicable for this declaration"),OR($D$27="No",$D$27="Unknown",$D$27="Not applicable for this declaration"))</formula>
    </cfRule>
  </conditionalFormatting>
  <conditionalFormatting sqref="D74:E74">
    <cfRule type="expression" dxfId="58" priority="12" stopIfTrue="1">
      <formula>IF(AND(OR($D$26="Yes",$D$26=""),D74=""),1,0)</formula>
    </cfRule>
    <cfRule type="expression" dxfId="57" priority="11" stopIfTrue="1">
      <formula>IF(AND(OR($D$26="No",$D$26="Unknown",$D$26="Not applicable for this declaration",$D$32="No",$D$32="Unknown"),D74=""),1,0)</formula>
    </cfRule>
  </conditionalFormatting>
  <conditionalFormatting sqref="D75:E75">
    <cfRule type="expression" dxfId="56" priority="14" stopIfTrue="1">
      <formula>IF(AND(OR($D$27="Yes",$D$27=""),D75=""),1,0)</formula>
    </cfRule>
    <cfRule type="expression" dxfId="55" priority="13" stopIfTrue="1">
      <formula>IF(AND(OR($D$27="No",$D$27="Unknown",$D$27="Not applicable for this declaration",$D$33="No",$D$33="Unknown"),D75=""),1,0)</formula>
    </cfRule>
  </conditionalFormatting>
  <conditionalFormatting sqref="D9:G9">
    <cfRule type="expression" dxfId="54" priority="145" stopIfTrue="1">
      <formula>IF($D$9="",TRUE)</formula>
    </cfRule>
  </conditionalFormatting>
  <conditionalFormatting sqref="D10:J10">
    <cfRule type="expression" dxfId="53" priority="49" stopIfTrue="1">
      <formula>IF($D$9=$Q$9,TRUE)</formula>
    </cfRule>
    <cfRule type="expression" dxfId="52" priority="159" stopIfTrue="1">
      <formula>IF(AND($D$10="",$D$9=$R$9),TRUE)</formula>
    </cfRule>
  </conditionalFormatting>
  <conditionalFormatting sqref="G71:J71">
    <cfRule type="expression" dxfId="51" priority="22">
      <formula>IF(AND($D$71="Yes",$G$71=""),TRUE)</formula>
    </cfRule>
  </conditionalFormatting>
  <conditionalFormatting sqref="G79:J79">
    <cfRule type="expression" dxfId="50" priority="40" stopIfTrue="1">
      <formula>IF(AND($D$79="Yes, using other format (describe)",$G$79=""),TRUE)</formula>
    </cfRule>
  </conditionalFormatting>
  <conditionalFormatting sqref="G81:J81">
    <cfRule type="expression" dxfId="49" priority="21">
      <formula>IF(AND($D$81="Yes, using other format (describe)",$G$81=""),TRUE)</formula>
    </cfRule>
  </conditionalFormatting>
  <conditionalFormatting sqref="D18:J18">
    <cfRule type="expression" dxfId="48" priority="8" stopIfTrue="1">
      <formula>IF($D$18="",TRUE)</formula>
    </cfRule>
  </conditionalFormatting>
  <conditionalFormatting sqref="D17:J17">
    <cfRule type="expression" dxfId="47" priority="7" stopIfTrue="1">
      <formula>IF($D$16="",TRUE)</formula>
    </cfRule>
  </conditionalFormatting>
  <conditionalFormatting sqref="D15:J15">
    <cfRule type="expression" dxfId="46" priority="5" stopIfTrue="1">
      <formula>IF($D$15="",TRUE)</formula>
    </cfRule>
  </conditionalFormatting>
  <conditionalFormatting sqref="D17:J17">
    <cfRule type="expression" dxfId="45" priority="6" stopIfTrue="1">
      <formula>IF($D$17="",TRUE)</formula>
    </cfRule>
  </conditionalFormatting>
  <conditionalFormatting sqref="D16:J16">
    <cfRule type="expression" dxfId="44" priority="4" stopIfTrue="1">
      <formula>IF($D$16="",TRUE)</formula>
    </cfRule>
  </conditionalFormatting>
  <conditionalFormatting sqref="D20:J20">
    <cfRule type="expression" dxfId="43" priority="3" stopIfTrue="1">
      <formula>IF($D$20="",TRUE)</formula>
    </cfRule>
  </conditionalFormatting>
  <conditionalFormatting sqref="D21:J21">
    <cfRule type="expression" dxfId="42" priority="2" stopIfTrue="1">
      <formula>IF($D$21="",TRUE)</formula>
    </cfRule>
  </conditionalFormatting>
  <conditionalFormatting sqref="D8:J8">
    <cfRule type="expression" dxfId="41" priority="1" stopIfTrue="1">
      <formula>IF($D$8="",TRUE)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 xml:space="preserve">開始するには
</v>
      </c>
      <c r="C2" s="143"/>
      <c r="D2" s="143"/>
      <c r="E2" s="143"/>
      <c r="F2" s="162"/>
      <c r="G2" s="162"/>
      <c r="H2" s="162"/>
      <c r="I2" s="305"/>
      <c r="J2" s="401" t="s">
        <v>43</v>
      </c>
      <c r="K2" s="402"/>
      <c r="L2" s="402"/>
      <c r="M2" s="402"/>
      <c r="N2" s="402"/>
      <c r="O2" s="402"/>
      <c r="P2" s="163"/>
      <c r="Q2" s="164"/>
      <c r="R2" s="165"/>
      <c r="S2" s="165"/>
      <c r="T2" s="165"/>
      <c r="AH2" s="131" t="s">
        <v>26</v>
      </c>
    </row>
    <row r="3" spans="1:34" s="17" customFormat="1" ht="240.6" customHeight="1">
      <c r="A3" s="204"/>
      <c r="B3" s="403" t="str">
        <f ca="1">OFFSET(L!$C$1,MATCH("Smelter List"&amp;ADDRESS(ROW(),COLUMN(),4),L!$A:$A,0)-1,SL,,)</f>
        <v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403"/>
      <c r="D3" s="403"/>
      <c r="E3" s="403"/>
      <c r="F3" s="166"/>
      <c r="G3" s="404" t="str">
        <f ca="1">OFFSET(L!$C$1,MATCH("General"&amp;"Cpy",L!$A:$A,0)-1,SL,,)</f>
        <v>© 2023 Responsible Minerals Initiative. 無断転載・再配布禁止。</v>
      </c>
      <c r="H3" s="404"/>
      <c r="I3" s="405"/>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製錬業者識別番号の入力列</v>
      </c>
      <c r="B4" s="129" t="str">
        <f ca="1">OFFSET(L!$C$1,MATCH("Smelter List"&amp;ADDRESS(ROW(),COLUMN(),4),L!$A:$A,0)-1,SL,,)</f>
        <v>金属 (*)</v>
      </c>
      <c r="C4" s="129" t="str">
        <f ca="1">OFFSET(L!$C$1,MATCH("Smelter List"&amp;ADDRESS(ROW(),COLUMN(),4),L!$A:$A,0)-1,SL,,)</f>
        <v>Smelter Look-Up（製錬業者名検索）（*）</v>
      </c>
      <c r="D4" s="129" t="str">
        <f ca="1">OFFSET(L!$C$1,MATCH("Smelter List"&amp;ADDRESS(ROW(),COLUMN(),4),L!$A:$A,0)-1,SL,,)</f>
        <v xml:space="preserve">製錬業者名(1)
</v>
      </c>
      <c r="E4" s="129" t="str">
        <f ca="1">OFFSET(L!$C$1,MATCH("Smelter List"&amp;ADDRESS(ROW(),COLUMN(),4),L!$A:$A,0)-1,SL,,)</f>
        <v>製錬業者所在地：国(*)</v>
      </c>
      <c r="F4" s="129" t="str">
        <f ca="1">OFFSET(L!$C$1,MATCH("Smelter List"&amp;ADDRESS(ROW(),COLUMN(),4),L!$A:$A,0)-1,SL,,)</f>
        <v>製錬業者識別番号</v>
      </c>
      <c r="G4" s="129" t="str">
        <f ca="1">OFFSET(L!$C$1,MATCH("Smelter List"&amp;ADDRESS(ROW(),COLUMN(),4),L!$A:$A,0)-1,SL,,)</f>
        <v>製錬業者識別番号の発行元</v>
      </c>
      <c r="H4" s="130" t="str">
        <f ca="1">OFFSET(L!$C$1,MATCH("Smelter List"&amp;ADDRESS(ROW(),COLUMN(),4),L!$A:$A,0)-1,SL,,)</f>
        <v>製錬業者所在地：番地</v>
      </c>
      <c r="I4" s="130" t="str">
        <f ca="1">OFFSET(L!$C$1,MATCH("Smelter List"&amp;ADDRESS(ROW(),COLUMN(),4),L!$A:$A,0)-1,SL,,)</f>
        <v>製錬業者所在地：市</v>
      </c>
      <c r="J4" s="130" t="str">
        <f ca="1">OFFSET(L!$C$1,MATCH("Smelter List"&amp;ADDRESS(ROW(),COLUMN(),4),L!$A:$A,0)-1,SL,,)</f>
        <v>製錬施設所在地：州／県</v>
      </c>
      <c r="K4" s="130" t="str">
        <f ca="1">OFFSET(L!$C$1,MATCH("Smelter List"&amp;ADDRESS(ROW(),COLUMN(),4),L!$A:$A,0)-1,SL,,)</f>
        <v>製錬業者連絡先担当者名</v>
      </c>
      <c r="L4" s="130" t="str">
        <f ca="1">OFFSET(L!$C$1,MATCH("Smelter List"&amp;ADDRESS(ROW(),COLUMN(),4),L!$A:$A,0)-1,SL,,)</f>
        <v>製錬業者連絡先電子メール</v>
      </c>
      <c r="M4" s="130" t="str">
        <f ca="1">OFFSET(L!$C$1,MATCH("Smelter List"&amp;ADDRESS(ROW(),COLUMN(),4),L!$A:$A,0)-1,SL,,)</f>
        <v>今後の対策案</v>
      </c>
      <c r="N4" s="130" t="str">
        <f ca="1">OFFSET(L!$C$1,MATCH("Smelter List"&amp;ADDRESS(ROW(),COLUMN(),4),L!$A:$A,0)-1,SL,,)</f>
        <v>鉱山名を記入。リサイクル又はスクラップ資源を由来とする場合は「recycled（リサイクル）」 又は「scrap（スクラップ）」と記入</v>
      </c>
      <c r="O4" s="130" t="str">
        <f ca="1">OFFSET(L!$C$1,MATCH("Smelter List"&amp;ADDRESS(ROW(),COLUMN(),4),L!$A:$A,0)-1,SL,,)</f>
        <v>鉱山の所在地（国）を記入。リサイクル又はスクラップ資源を由来とした場合は「recycled（リサイクル）」 又は「scrap（スクラップ）」と記入</v>
      </c>
      <c r="P4" s="130" t="str">
        <f ca="1">OFFSET(L!$C$1,MATCH("Smelter List"&amp;ADDRESS(ROW(),COLUMN(),4),L!$A:$A,0)-1,SL,,)</f>
        <v>製錬業者の原料はすべてリサイクル又はスクラップ資源を由来としていますか？</v>
      </c>
      <c r="Q4" s="131" t="str">
        <f ca="1">OFFSET(L!$C$1,MATCH("Smelter List"&amp;ADDRESS(ROW(),COLUMN(),4),L!$A:$A,0)-1,SL,,)</f>
        <v>備考</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2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6" t="str">
        <f ca="1">OFFSET(L!$C$1,MATCH("Checker"&amp;ADDRESS(ROW(),COLUMN(),4),L!$A:$A,0)-1,SL,,)</f>
        <v>顧客に回答を提出する前に、赤で表示されている必須項目について、すべて記入されているかを確認してください。</v>
      </c>
      <c r="B1" s="406"/>
      <c r="C1" s="406"/>
      <c r="D1" s="109" t="str">
        <f ca="1">OFFSET(L!$C$1,MATCH("Checker"&amp;ADDRESS(ROW(),COLUMN(),4),L!$A:$A,0)-1,SL,,)</f>
        <v>未記入の必須項目があります</v>
      </c>
      <c r="E1" s="17" t="s">
        <v>19</v>
      </c>
    </row>
    <row r="2" spans="1:10" ht="15">
      <c r="A2" s="59" t="s">
        <v>51</v>
      </c>
      <c r="B2" s="60" t="str">
        <f>IF(F60=1,"Click here to return to Smelter List","")</f>
        <v/>
      </c>
      <c r="C2" s="112" t="str">
        <f>IF(F59=1,"Click here to return to Product List","")</f>
        <v>Click here to return to Product List</v>
      </c>
      <c r="D2" s="134" t="str">
        <f ca="1">IF(H65=0,"0",H65)</f>
        <v>0</v>
      </c>
    </row>
    <row r="3" spans="1:10" ht="15">
      <c r="A3" s="61" t="str">
        <f ca="1">OFFSET(L!$C$1,MATCH("Checker"&amp;ADDRESS(ROW(),COLUMN(),4),L!$A:$A,0)-1,SL,,)</f>
        <v>必須項目</v>
      </c>
      <c r="B3" s="61" t="str">
        <f ca="1">OFFSET(L!$C$1,MATCH("Checker"&amp;ADDRESS(ROW(),COLUMN(),4),L!$A:$A,0)-1,SL,,)</f>
        <v>回答</v>
      </c>
      <c r="C3" s="61" t="str">
        <f ca="1">OFFSET(L!$C$1,MATCH("Checker"&amp;ADDRESS(ROW(),COLUMN(),4),L!$A:$A,0)-1,SL,,)</f>
        <v>注</v>
      </c>
      <c r="D3" s="61" t="str">
        <f ca="1">OFFSET(L!$C$1,MATCH("Checker"&amp;ADDRESS(ROW(),COLUMN(),4),L!$A:$A,0)-1,SL,,)</f>
        <v>該当箇所へのリンク</v>
      </c>
      <c r="F3" s="62" t="s">
        <v>52</v>
      </c>
      <c r="G3" s="16" t="s">
        <v>53</v>
      </c>
      <c r="H3" s="16" t="s">
        <v>54</v>
      </c>
      <c r="I3" s="16" t="s">
        <v>55</v>
      </c>
      <c r="J3" s="16" t="s">
        <v>56</v>
      </c>
    </row>
    <row r="4" spans="1:10" ht="39">
      <c r="A4" s="136" t="str">
        <f ca="1">Declaration!B8</f>
        <v>会社名(*):</v>
      </c>
      <c r="B4" s="80" t="str">
        <f>Declaration!D8</f>
        <v>ポリプラ・エボニック株式会社</v>
      </c>
      <c r="C4" s="137" t="str">
        <f t="shared" ref="C4:C9" ca="1" si="0">IF(H4=1,J4,I4)</f>
        <v>記入済</v>
      </c>
      <c r="D4" s="206" t="str">
        <f>IF(H4=1,"Click here to enter Company Name","")</f>
        <v/>
      </c>
      <c r="E4" s="17" t="s">
        <v>15</v>
      </c>
      <c r="F4" s="84">
        <v>1</v>
      </c>
      <c r="G4" s="63">
        <f t="shared" ref="G4:G9" si="1">IF(B4=0,1,0)</f>
        <v>0</v>
      </c>
      <c r="H4" s="64">
        <f>F4*G4</f>
        <v>0</v>
      </c>
      <c r="I4" s="132" t="str">
        <f ca="1">OFFSET(L!$C$1,MATCH("Checker"&amp;"Comp",L!$A:$A,0)-1,SL,,)</f>
        <v>記入済</v>
      </c>
      <c r="J4" s="133" t="str">
        <f ca="1">OFFSET(L!$C$1,MATCH("Checker"&amp;ADDRESS(ROW(),COLUMN(),4),L!$A:$A,0)-1,SL,,)</f>
        <v>「申告（Declaration）」タブのD8セルに貴社名を記入してください</v>
      </c>
    </row>
    <row r="5" spans="1:10" ht="39">
      <c r="A5" s="136" t="str">
        <f ca="1">Declaration!B9</f>
        <v>申告範囲又はクラス(*):</v>
      </c>
      <c r="B5" s="80" t="str">
        <f>Declaration!D9</f>
        <v>B. Product (or List of Products)</v>
      </c>
      <c r="C5" s="137" t="str">
        <f t="shared" ca="1" si="0"/>
        <v>記入済</v>
      </c>
      <c r="D5" s="86" t="str">
        <f>IF(H5=1,"Click here to enter Declaration Scope","")</f>
        <v/>
      </c>
      <c r="E5" s="17" t="s">
        <v>15</v>
      </c>
      <c r="F5" s="84">
        <v>1</v>
      </c>
      <c r="G5" s="63">
        <f t="shared" si="1"/>
        <v>0</v>
      </c>
      <c r="H5" s="64">
        <f t="shared" ref="H5:H18" si="2">F5*G5</f>
        <v>0</v>
      </c>
      <c r="I5" s="132" t="str">
        <f ca="1">OFFSET(L!$C$1,MATCH("Checker"&amp;"Comp",L!$A:$A,0)-1,SL,,)</f>
        <v>記入済</v>
      </c>
      <c r="J5" s="133" t="str">
        <f ca="1">OFFSET(L!$C$1,MATCH("Checker"&amp;ADDRESS(ROW(),COLUMN(),4),L!$A:$A,0)-1,SL,,)</f>
        <v>「申告（Declaration）」タブのD9セルで申告範囲を選択してください</v>
      </c>
    </row>
    <row r="6" spans="1:10" ht="39">
      <c r="A6" s="81" t="str">
        <f ca="1">Declaration!B10</f>
        <v>この申告に適用される製品は製品一覧表(Product List)のシートに移動して入力</v>
      </c>
      <c r="B6" s="80">
        <f>Declaration!D10</f>
        <v>0</v>
      </c>
      <c r="C6" s="80" t="str">
        <f t="shared" ca="1" si="0"/>
        <v>記入済</v>
      </c>
      <c r="D6" s="86" t="str">
        <f>IF(H6=1,"Click here to provide a Description of Scope","")</f>
        <v/>
      </c>
      <c r="E6" s="17" t="s">
        <v>15</v>
      </c>
      <c r="F6" s="85">
        <f>IF(OR(B5=Declaration!P9,B5=Declaration!Q9,B5=0),0,1)</f>
        <v>0</v>
      </c>
      <c r="G6" s="63">
        <f t="shared" si="1"/>
        <v>1</v>
      </c>
      <c r="H6" s="64">
        <f t="shared" si="2"/>
        <v>0</v>
      </c>
      <c r="I6" s="132" t="str">
        <f ca="1">OFFSET(L!$C$1,MATCH("Checker"&amp;"Comp",L!$A:$A,0)-1,SL,,)</f>
        <v>記入済</v>
      </c>
      <c r="J6" s="16" t="str">
        <f ca="1">OFFSET(L!$C$1,MATCH("Checker"&amp;ADDRESS(ROW(),COLUMN(),4),L!$A:$A,0)-1,SL,,)</f>
        <v>「申告（Declaration）」タブのD10セルに申告範囲の説明を記入してください</v>
      </c>
    </row>
    <row r="7" spans="1:10" ht="39">
      <c r="A7" s="136" t="str">
        <f ca="1">Declaration!B15</f>
        <v>連絡先担当者名(*):</v>
      </c>
      <c r="B7" s="80" t="str">
        <f>Declaration!D15</f>
        <v>松井秀樹</v>
      </c>
      <c r="C7" s="137" t="str">
        <f t="shared" ca="1" si="0"/>
        <v>記入済</v>
      </c>
      <c r="D7" s="86" t="str">
        <f>IF(H7=1,"Click here to enter Contact Name","")</f>
        <v/>
      </c>
      <c r="E7" s="17" t="s">
        <v>15</v>
      </c>
      <c r="F7" s="84">
        <v>1</v>
      </c>
      <c r="G7" s="63">
        <f t="shared" si="1"/>
        <v>0</v>
      </c>
      <c r="H7" s="64">
        <f t="shared" si="2"/>
        <v>0</v>
      </c>
      <c r="I7" s="132" t="str">
        <f ca="1">OFFSET(L!$C$1,MATCH("Checker"&amp;"Comp",L!$A:$A,0)-1,SL,,)</f>
        <v>記入済</v>
      </c>
      <c r="J7" s="16" t="str">
        <f ca="1">OFFSET(L!$C$1,MATCH("Checker"&amp;ADDRESS(ROW(),COLUMN(),4),L!$A:$A,0)-1,SL,,)</f>
        <v>「申告（Declaration）」タブのD15セルに連絡先担当者名を記入してください</v>
      </c>
    </row>
    <row r="8" spans="1:10" ht="39">
      <c r="A8" s="136" t="str">
        <f ca="1">Declaration!B16</f>
        <v>連絡先担当者の電子メール(*):</v>
      </c>
      <c r="B8" s="80" t="str">
        <f>Declaration!D16</f>
        <v>h.matsui@pp-evonik.com</v>
      </c>
      <c r="C8" s="137" t="str">
        <f t="shared" ca="1" si="0"/>
        <v>記入済</v>
      </c>
      <c r="D8" s="86" t="str">
        <f>IF(H8=1,"Click here to enter Email-Contact","")</f>
        <v/>
      </c>
      <c r="E8" s="17" t="s">
        <v>15</v>
      </c>
      <c r="F8" s="84">
        <v>1</v>
      </c>
      <c r="G8" s="63">
        <f>IF(ISNUMBER(SEARCH("@",B8)),0,1)</f>
        <v>0</v>
      </c>
      <c r="H8" s="64">
        <f t="shared" si="2"/>
        <v>0</v>
      </c>
      <c r="I8" s="132" t="str">
        <f ca="1">OFFSET(L!$C$1,MATCH("Checker"&amp;"Comp",L!$A:$A,0)-1,SL,,)</f>
        <v>記入済</v>
      </c>
      <c r="J8" s="16" t="str">
        <f ca="1">OFFSET(L!$C$1,MATCH("Checker"&amp;ADDRESS(ROW(),COLUMN(),4),L!$A:$A,0)-1,SL,,)</f>
        <v>「申告（Declaration）」タブのD16セルに連絡先担当者の有効な電子メールを記入してください</v>
      </c>
    </row>
    <row r="9" spans="1:10" ht="39">
      <c r="A9" s="136" t="str">
        <f ca="1">Declaration!B17</f>
        <v>連絡先担当者の電話番号(*):</v>
      </c>
      <c r="B9" s="80" t="str">
        <f>Declaration!D17</f>
        <v>079-273-4965</v>
      </c>
      <c r="C9" s="137" t="str">
        <f t="shared" ca="1" si="0"/>
        <v>記入済</v>
      </c>
      <c r="D9" s="86" t="str">
        <f>IF(H9=1,"Click here to enter Phone-Contact","")</f>
        <v/>
      </c>
      <c r="E9" s="17" t="s">
        <v>15</v>
      </c>
      <c r="F9" s="84">
        <v>1</v>
      </c>
      <c r="G9" s="63">
        <f t="shared" si="1"/>
        <v>0</v>
      </c>
      <c r="H9" s="64">
        <f t="shared" si="2"/>
        <v>0</v>
      </c>
      <c r="I9" s="132" t="str">
        <f ca="1">OFFSET(L!$C$1,MATCH("Checker"&amp;"Comp",L!$A:$A,0)-1,SL,,)</f>
        <v>記入済</v>
      </c>
      <c r="J9" s="16" t="str">
        <f ca="1">OFFSET(L!$C$1,MATCH("Checker"&amp;ADDRESS(ROW(),COLUMN(),4),L!$A:$A,0)-1,SL,,)</f>
        <v>「申告（Declaration）」タブのD17セルに連絡先担当者の電話番号を記入してください</v>
      </c>
    </row>
    <row r="10" spans="1:10" ht="39">
      <c r="A10" s="136" t="str">
        <f ca="1">Declaration!B18</f>
        <v>回答責任者名(*):</v>
      </c>
      <c r="B10" s="80" t="str">
        <f>Declaration!D18</f>
        <v>松井秀樹</v>
      </c>
      <c r="C10" s="137" t="str">
        <f t="shared" ref="C10:C58" ca="1" si="3">IF(H10=1,J10,I10)</f>
        <v>記入済</v>
      </c>
      <c r="D10" s="86" t="str">
        <f>IF(H10=1,"Click here to enter an Authorized Company Representative's name","")</f>
        <v/>
      </c>
      <c r="E10" s="17" t="s">
        <v>15</v>
      </c>
      <c r="F10" s="84">
        <v>1</v>
      </c>
      <c r="G10" s="63">
        <f t="shared" ref="G10:G18" si="4">IF(B10=0,1,0)</f>
        <v>0</v>
      </c>
      <c r="H10" s="64">
        <f t="shared" si="2"/>
        <v>0</v>
      </c>
      <c r="I10" s="132" t="str">
        <f ca="1">OFFSET(L!$C$1,MATCH("Checker"&amp;"Comp",L!$A:$A,0)-1,SL,,)</f>
        <v>記入済</v>
      </c>
      <c r="J10" s="16" t="str">
        <f ca="1">OFFSET(L!$C$1,MATCH("Checker"&amp;ADDRESS(ROW(),COLUMN(),4),L!$A:$A,0)-1,SL,,)</f>
        <v>「申告（Declaration）」タブのD18セルに会社から正式に認められた代表者の連絡先担当者名を記入してください</v>
      </c>
    </row>
    <row r="11" spans="1:10" ht="39">
      <c r="A11" s="81" t="str">
        <f ca="1">Declaration!B20</f>
        <v>回答責任者の電子メール(*):</v>
      </c>
      <c r="B11" s="80" t="str">
        <f>Declaration!D20</f>
        <v>h.matsui@pp-evonik.com</v>
      </c>
      <c r="C11" s="80" t="str">
        <f t="shared" ca="1" si="3"/>
        <v>記入済</v>
      </c>
      <c r="D11" s="86" t="str">
        <f>IF(H11=1,"Click here to enter Representative's email","")</f>
        <v/>
      </c>
      <c r="E11" s="17" t="s">
        <v>15</v>
      </c>
      <c r="F11" s="84">
        <v>1</v>
      </c>
      <c r="G11" s="63">
        <f>IF(ISNUMBER(SEARCH("@",B11)),0,1)</f>
        <v>0</v>
      </c>
      <c r="H11" s="64">
        <f t="shared" si="2"/>
        <v>0</v>
      </c>
      <c r="I11" s="132" t="str">
        <f ca="1">OFFSET(L!$C$1,MATCH("Checker"&amp;"Comp",L!$A:$A,0)-1,SL,,)</f>
        <v>記入済</v>
      </c>
      <c r="J11" s="16" t="str">
        <f ca="1">OFFSET(L!$C$1,MATCH("Checker"&amp;ADDRESS(ROW(),COLUMN(),4),L!$A:$A,0)-1,SL,,)</f>
        <v>「申告（Declaration）」タブのD20セルに会社から正式に認められた代表者の有効な電子メールを記入してください</v>
      </c>
    </row>
    <row r="12" spans="1:10" ht="39" hidden="1">
      <c r="A12" s="81" t="str">
        <f ca="1">Declaration!B21</f>
        <v>回答責任者の電話番号:</v>
      </c>
      <c r="B12" s="80" t="str">
        <f>Declaration!D21</f>
        <v>079-273-4965</v>
      </c>
      <c r="C12" s="80" t="str">
        <f ca="1">IF(H12=1,J12,I12)</f>
        <v>記入済</v>
      </c>
      <c r="D12" s="86" t="str">
        <f>IF(H12=1,"Click here to enter Representative's phone","")</f>
        <v/>
      </c>
      <c r="E12" s="17" t="s">
        <v>15</v>
      </c>
      <c r="F12" s="84"/>
      <c r="G12" s="63">
        <f>IF(B12=0,1,0)</f>
        <v>0</v>
      </c>
      <c r="H12" s="64">
        <f>F12*G12</f>
        <v>0</v>
      </c>
      <c r="I12" s="132" t="str">
        <f ca="1">OFFSET(L!$C$1,MATCH("Checker"&amp;"Comp",L!$A:$A,0)-1,SL,,)</f>
        <v>記入済</v>
      </c>
      <c r="J12" s="16" t="str">
        <f ca="1">OFFSET(L!$C$1,MATCH("Checker"&amp;ADDRESS(ROW(),COLUMN(),4),L!$A:$A,0)-1,SL,,)</f>
        <v>「申告（Declaration）」タブのD21セルに会社から正式に認められた代表者の電話番号を記入してください</v>
      </c>
    </row>
    <row r="13" spans="1:10" ht="39">
      <c r="A13" s="81" t="str">
        <f ca="1">Declaration!B22</f>
        <v xml:space="preserve"> 記入日(*):</v>
      </c>
      <c r="B13" s="82">
        <f>Declaration!D22</f>
        <v>45114</v>
      </c>
      <c r="C13" s="80" t="str">
        <f t="shared" ca="1" si="3"/>
        <v>記入済</v>
      </c>
      <c r="D13" s="86" t="str">
        <f>IF(H13=1,"Click here to enter Date of Completion","")</f>
        <v/>
      </c>
      <c r="E13" s="17" t="s">
        <v>15</v>
      </c>
      <c r="F13" s="84">
        <v>1</v>
      </c>
      <c r="G13" s="63">
        <f t="shared" si="4"/>
        <v>0</v>
      </c>
      <c r="H13" s="64">
        <f t="shared" si="2"/>
        <v>0</v>
      </c>
      <c r="I13" s="132" t="str">
        <f ca="1">OFFSET(L!$C$1,MATCH("Checker"&amp;"Comp",L!$A:$A,0)-1,SL,,)</f>
        <v>記入済</v>
      </c>
      <c r="J13" s="16" t="str">
        <f ca="1">OFFSET(L!$C$1,MATCH("Checker"&amp;ADDRESS(ROW(),COLUMN(),4),L!$A:$A,0)-1,SL,,)</f>
        <v>「申告（Declaration）」タブのD22セルに書式への記入日を記入してください</v>
      </c>
    </row>
    <row r="14" spans="1:10" ht="63.75">
      <c r="A14" s="80" t="str">
        <f ca="1">Declaration!B25</f>
        <v xml:space="preserve">1）製品自体や製造過程で、コバルト又は天然マイカが意図的に添加又は使用されていますか？ （*）
</v>
      </c>
      <c r="B14" s="83"/>
      <c r="C14" s="83"/>
      <c r="D14" s="87"/>
      <c r="E14" s="17" t="s">
        <v>16</v>
      </c>
      <c r="F14" s="84"/>
      <c r="H14" s="16">
        <f t="shared" si="2"/>
        <v>0</v>
      </c>
    </row>
    <row r="15" spans="1:10" ht="26.25">
      <c r="A15" s="81" t="str">
        <f ca="1">Declaration!B26</f>
        <v>コバルト</v>
      </c>
      <c r="B15" s="80" t="str">
        <f>Declaration!D26</f>
        <v>No</v>
      </c>
      <c r="C15" s="80" t="str">
        <f t="shared" ca="1" si="3"/>
        <v>記入済</v>
      </c>
      <c r="D15" s="86" t="str">
        <f>IF(H15=1,"Click here to answer question 1 for Cobalt","")</f>
        <v/>
      </c>
      <c r="E15" s="17" t="s">
        <v>19</v>
      </c>
      <c r="F15" s="84">
        <v>1</v>
      </c>
      <c r="G15" s="63">
        <f t="shared" si="4"/>
        <v>0</v>
      </c>
      <c r="H15" s="64">
        <f t="shared" si="2"/>
        <v>0</v>
      </c>
      <c r="I15" s="132" t="str">
        <f ca="1">OFFSET(L!$C$1,MATCH("Checker"&amp;"Comp",L!$A:$A,0)-1,SL,,)</f>
        <v>記入済</v>
      </c>
      <c r="J15" s="133" t="str">
        <f ca="1">OFFSET(L!$C$1,MATCH("Checker"&amp;ADDRESS(ROW(),COLUMN(),4),L!$A:$A,0)-1,SL,,)</f>
        <v>コバルトが貴社製品に意図的に付加された場合は「申告（Declaration）」タブのD26セルに申告してください</v>
      </c>
    </row>
    <row r="16" spans="1:10" ht="39">
      <c r="A16" s="81" t="str">
        <f ca="1">Declaration!B27</f>
        <v>マイカ</v>
      </c>
      <c r="B16" s="80" t="str">
        <f>Declaration!D27</f>
        <v>No</v>
      </c>
      <c r="C16" s="80" t="str">
        <f t="shared" ca="1" si="3"/>
        <v>記入済</v>
      </c>
      <c r="D16" s="86" t="str">
        <f>IF(H16=1,"Click here to answer question 1 for Mica","")</f>
        <v/>
      </c>
      <c r="E16" s="17" t="s">
        <v>15</v>
      </c>
      <c r="F16" s="84">
        <v>1</v>
      </c>
      <c r="G16" s="63">
        <f t="shared" si="4"/>
        <v>0</v>
      </c>
      <c r="H16" s="64">
        <f t="shared" si="2"/>
        <v>0</v>
      </c>
      <c r="I16" s="132" t="str">
        <f ca="1">OFFSET(L!$C$1,MATCH("Checker"&amp;"Comp",L!$A:$A,0)-1,SL,,)</f>
        <v>記入済</v>
      </c>
      <c r="J16" s="133" t="str">
        <f ca="1">OFFSET(L!$C$1,MATCH("Checker"&amp;ADDRESS(ROW(),COLUMN(),4),L!$A:$A,0)-1,SL,,)</f>
        <v>天然マイカが貴社製品に意図的に付加された場合は「申告（Declaration）」タブのD27セルに申告してください</v>
      </c>
    </row>
    <row r="17" spans="1:10" ht="39" hidden="1">
      <c r="A17" s="81" t="str">
        <f ca="1">Declaration!B28</f>
        <v/>
      </c>
      <c r="B17" s="80" t="str">
        <f>Declaration!D28</f>
        <v>No</v>
      </c>
      <c r="C17" s="80" t="str">
        <f t="shared" ca="1" si="3"/>
        <v>記入済</v>
      </c>
      <c r="D17" s="86" t="str">
        <f>IF(H17=1,"Click here to answer question 1 for Gold","")</f>
        <v/>
      </c>
      <c r="E17" s="17" t="s">
        <v>15</v>
      </c>
      <c r="F17" s="84">
        <v>1</v>
      </c>
      <c r="G17" s="63">
        <f t="shared" si="4"/>
        <v>0</v>
      </c>
      <c r="H17" s="64">
        <f t="shared" si="2"/>
        <v>0</v>
      </c>
      <c r="I17" s="132" t="str">
        <f ca="1">OFFSET(L!$C$1,MATCH("Checker"&amp;"Comp",L!$A:$A,0)-1,SL,,)</f>
        <v>記入済</v>
      </c>
      <c r="J17" s="133">
        <f ca="1">OFFSET(L!$C$1,MATCH("Checker"&amp;ADDRESS(ROW(),COLUMN(),4),L!$A:$A,0)-1,SL,,)</f>
        <v>0</v>
      </c>
    </row>
    <row r="18" spans="1:10" ht="39" hidden="1">
      <c r="A18" s="81" t="str">
        <f ca="1">Declaration!B29</f>
        <v/>
      </c>
      <c r="B18" s="80" t="str">
        <f>Declaration!D29</f>
        <v>No</v>
      </c>
      <c r="C18" s="80" t="str">
        <f t="shared" ca="1" si="3"/>
        <v>記入済</v>
      </c>
      <c r="D18" s="86" t="str">
        <f>IF(H18=1,"Click here to answer question 1 for Tungsten","")</f>
        <v/>
      </c>
      <c r="E18" s="17" t="s">
        <v>15</v>
      </c>
      <c r="F18" s="84">
        <v>1</v>
      </c>
      <c r="G18" s="63">
        <f t="shared" si="4"/>
        <v>0</v>
      </c>
      <c r="H18" s="64">
        <f t="shared" si="2"/>
        <v>0</v>
      </c>
      <c r="I18" s="132" t="str">
        <f ca="1">OFFSET(L!$C$1,MATCH("Checker"&amp;"Comp",L!$A:$A,0)-1,SL,,)</f>
        <v>記入済</v>
      </c>
      <c r="J18" s="133">
        <f ca="1">OFFSET(L!$C$1,MATCH("Checker"&amp;ADDRESS(ROW(),COLUMN(),4),L!$A:$A,0)-1,SL,,)</f>
        <v>0</v>
      </c>
    </row>
    <row r="19" spans="1:10" ht="38.25">
      <c r="A19" s="80" t="str">
        <f ca="1">Declaration!B31</f>
        <v>2）コバルト又は天然マイカは製品に残留していますか？</v>
      </c>
      <c r="B19" s="83"/>
      <c r="C19" s="83"/>
      <c r="D19" s="87"/>
      <c r="E19" s="17" t="s">
        <v>15</v>
      </c>
      <c r="F19" s="84"/>
      <c r="J19" s="133"/>
    </row>
    <row r="20" spans="1:10" ht="63.6" customHeight="1">
      <c r="A20" s="81" t="str">
        <f ca="1">Declaration!B32</f>
        <v>コバルト</v>
      </c>
      <c r="B20" s="80">
        <f>Declaration!D32</f>
        <v>0</v>
      </c>
      <c r="C20" s="137" t="str">
        <f t="shared" ref="C20:C21" ca="1" si="5">IF(H20=1,J20,I20)</f>
        <v>記入済</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記入済</v>
      </c>
      <c r="J20" s="16" t="str">
        <f ca="1">OFFSET(L!$C$1,MATCH("Checker"&amp;ADDRESS(ROW(),COLUMN(),4),L!$A:$A,0)-1,SL,,)</f>
        <v>コバルトが貴社製品の製造に必要で、申告されている最終製品内に含まれる場合は、「申告（Declaration）」タブのD32セルで申告してください</v>
      </c>
    </row>
    <row r="21" spans="1:10" ht="50.1" customHeight="1">
      <c r="A21" s="81" t="str">
        <f ca="1">Declaration!B33</f>
        <v>マイカ</v>
      </c>
      <c r="B21" s="80">
        <f>Declaration!D33</f>
        <v>0</v>
      </c>
      <c r="C21" s="137" t="str">
        <f t="shared" ca="1" si="5"/>
        <v>記入済</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記入済</v>
      </c>
      <c r="J21" s="16" t="str">
        <f ca="1">OFFSET(L!$C$1,MATCH("Checker"&amp;ADDRESS(ROW(),COLUMN(),4),L!$A:$A,0)-1,SL,,)</f>
        <v>マイカが貴社製品の製造に必要で、申告されている最終製品内に含まれる場合は、「申告（Declaration）」タブのD33セルで申告してください</v>
      </c>
    </row>
    <row r="22" spans="1:10" ht="89.25">
      <c r="A22" s="80" t="str">
        <f ca="1">Declaration!B37</f>
        <v xml:space="preserve">3）貴社サプライチェーン内の製錬業者又は加工業者のいずれかが、紛争地域および高リスク地域をコバルト又は天然マイカの原産地としていますか？（OECDデュー・ディリジェンスガイダンスの「定義（Definitions）」タブを参照） (*)
</v>
      </c>
      <c r="B22" s="83"/>
      <c r="C22" s="83"/>
      <c r="D22" s="87"/>
      <c r="E22" s="17" t="s">
        <v>15</v>
      </c>
      <c r="F22" s="84"/>
      <c r="J22" s="133"/>
    </row>
    <row r="23" spans="1:10" ht="49.5" customHeight="1">
      <c r="A23" s="81" t="str">
        <f ca="1">Declaration!B38</f>
        <v>コバルト</v>
      </c>
      <c r="B23" s="80">
        <f>Declaration!D38</f>
        <v>0</v>
      </c>
      <c r="C23" s="137" t="str">
        <f t="shared" ca="1" si="3"/>
        <v>記入済</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記入済</v>
      </c>
      <c r="J23" s="16" t="str">
        <f ca="1">OFFSET(L!$C$1,MATCH("Checker"&amp;ADDRESS(ROW(),COLUMN(),4),L!$A:$A,0)-1,SL,,)</f>
        <v>本調査回答で申告された製品範囲内で使用されるコバルトが、紛争地域および高リスク地域を原産としている場合、「申告（Declaration）」タブのD38セルで申告してください</v>
      </c>
    </row>
    <row r="24" spans="1:10" ht="48.6" customHeight="1">
      <c r="A24" s="81" t="str">
        <f ca="1">Declaration!B39</f>
        <v>マイカ</v>
      </c>
      <c r="B24" s="80">
        <f>Declaration!D39</f>
        <v>0</v>
      </c>
      <c r="C24" s="137" t="str">
        <f t="shared" ca="1" si="3"/>
        <v>記入済</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記入済</v>
      </c>
      <c r="J24" s="16" t="str">
        <f ca="1">OFFSET(L!$C$1,MATCH("Checker"&amp;ADDRESS(ROW(),COLUMN(),4),L!$A:$A,0)-1,SL,,)</f>
        <v>本調査回答で申告された製品範囲内で使用されるマイカが、紛争地域および高リスク地域を原産としている場合、「申告（Declaration）」タブのD39セルで申告してください</v>
      </c>
    </row>
    <row r="25" spans="1:10" ht="39" hidden="1">
      <c r="A25" s="81">
        <f ca="1">Declaration!B40</f>
        <v>0</v>
      </c>
      <c r="B25" s="80">
        <f>Declaration!D40</f>
        <v>0</v>
      </c>
      <c r="C25" s="137" t="str">
        <f t="shared" ca="1" si="3"/>
        <v>記入済</v>
      </c>
      <c r="D25" s="88" t="str">
        <f>IF(H25=1,"Click here to answer question 3 for Gold","")</f>
        <v/>
      </c>
      <c r="E25" s="17" t="s">
        <v>15</v>
      </c>
      <c r="F25" s="85">
        <f>IF(B$17="No",0,1)</f>
        <v>0</v>
      </c>
      <c r="G25" s="63">
        <f t="shared" si="8"/>
        <v>1</v>
      </c>
      <c r="H25" s="64">
        <f t="shared" si="9"/>
        <v>0</v>
      </c>
      <c r="I25" s="132" t="str">
        <f ca="1">OFFSET(L!$C$1,MATCH("Checker"&amp;"Comp",L!$A:$A,0)-1,SL,,)</f>
        <v>記入済</v>
      </c>
      <c r="J25" s="16" t="e">
        <f ca="1">OFFSET(L!$C$1,MATCH("Checker"&amp;ADDRESS(ROW(),COLUMN(),4),L!$A:$A,0)-1,SL,,)</f>
        <v>#N/A</v>
      </c>
    </row>
    <row r="26" spans="1:10" ht="39" hidden="1">
      <c r="A26" s="81">
        <f ca="1">Declaration!B41</f>
        <v>0</v>
      </c>
      <c r="B26" s="80">
        <f>Declaration!D41</f>
        <v>0</v>
      </c>
      <c r="C26" s="137" t="str">
        <f t="shared" ca="1" si="3"/>
        <v>記入済</v>
      </c>
      <c r="D26" s="88" t="str">
        <f>IF(H26=1,"Click here to answer question 3 for Tungsten","")</f>
        <v/>
      </c>
      <c r="E26" s="17" t="s">
        <v>15</v>
      </c>
      <c r="F26" s="85">
        <f>IF(B$18="No",0,1)</f>
        <v>0</v>
      </c>
      <c r="G26" s="63">
        <f t="shared" si="8"/>
        <v>1</v>
      </c>
      <c r="H26" s="64">
        <f t="shared" si="9"/>
        <v>0</v>
      </c>
      <c r="I26" s="132" t="str">
        <f ca="1">OFFSET(L!$C$1,MATCH("Checker"&amp;"Comp",L!$A:$A,0)-1,SL,,)</f>
        <v>記入済</v>
      </c>
      <c r="J26" s="16" t="e">
        <f ca="1">OFFSET(L!$C$1,MATCH("Checker"&amp;ADDRESS(ROW(),COLUMN(),4),L!$A:$A,0)-1,SL,,)</f>
        <v>#N/A</v>
      </c>
    </row>
    <row r="27" spans="1:10" ht="38.25">
      <c r="A27" s="80" t="str">
        <f ca="1">Declaration!B43</f>
        <v>4）コバルトは全て、再生利用品又はスクラップ起源から調達していますか？</v>
      </c>
      <c r="B27" s="83"/>
      <c r="C27" s="83"/>
      <c r="D27" s="87"/>
      <c r="E27" s="17" t="s">
        <v>15</v>
      </c>
      <c r="F27" s="84"/>
      <c r="J27" s="133"/>
    </row>
    <row r="28" spans="1:10" ht="59.45" customHeight="1">
      <c r="A28" s="81" t="str">
        <f ca="1">Declaration!B44</f>
        <v>コバルト</v>
      </c>
      <c r="B28" s="80">
        <f>Declaration!D44</f>
        <v>0</v>
      </c>
      <c r="C28" s="137" t="str">
        <f ca="1">IF(H28=1,J28,I28)</f>
        <v>記入済</v>
      </c>
      <c r="D28" s="195" t="str">
        <f>IF(H28=1,"Click here to answer question 4 for Cobalt","")</f>
        <v/>
      </c>
      <c r="E28" s="17" t="s">
        <v>15</v>
      </c>
      <c r="F28" s="85">
        <f>F23</f>
        <v>0</v>
      </c>
      <c r="G28" s="63">
        <f>IF(B28=0,1,0)</f>
        <v>1</v>
      </c>
      <c r="H28" s="64">
        <f>F28*G28</f>
        <v>0</v>
      </c>
      <c r="I28" s="132" t="str">
        <f ca="1">OFFSET(L!$C$1,MATCH("Checker"&amp;"Comp",L!$A:$A,0)-1,SL,,)</f>
        <v>記入済</v>
      </c>
      <c r="J28" s="133" t="str">
        <f ca="1">OFFSET(L!$C$1,MATCH("Checker"&amp;ADDRESS(ROW(),COLUMN(),4),L!$A:$A,0)-1,SL,,)</f>
        <v>本調査回答で申告された製品範囲内で使用されるコバルトの100%が再生利用品およびスクラップ起源を由来としている場合は、「申告（Declaration）」タブのD44セルに申告してください</v>
      </c>
    </row>
    <row r="29" spans="1:10" ht="48.6" hidden="1" customHeight="1">
      <c r="A29" s="81">
        <f>Declaration!B45</f>
        <v>0</v>
      </c>
      <c r="B29" s="80">
        <f>Declaration!D45</f>
        <v>0</v>
      </c>
      <c r="C29" s="137" t="str">
        <f ca="1">IF(H29=1,J29,I29)</f>
        <v>記入済</v>
      </c>
      <c r="D29" s="88" t="str">
        <f>IF(H29=1,"Click here to answer question 4 for Mica","")</f>
        <v/>
      </c>
      <c r="E29" s="17" t="s">
        <v>15</v>
      </c>
      <c r="F29" s="85"/>
      <c r="G29" s="63">
        <f>IF(B29=0,1,0)</f>
        <v>1</v>
      </c>
      <c r="H29" s="64">
        <f>F29*G29</f>
        <v>0</v>
      </c>
      <c r="I29" s="132" t="str">
        <f ca="1">OFFSET(L!$C$1,MATCH("Checker"&amp;"Comp",L!$A:$A,0)-1,SL,,)</f>
        <v>記入済</v>
      </c>
      <c r="J29" s="133" t="str">
        <f ca="1">OFFSET(L!$C$1,MATCH("Checker"&amp;ADDRESS(ROW(),COLUMN(),4),L!$A:$A,0)-1,SL,,)</f>
        <v>本調査回答で申告された製品範囲内で使用されるマイカの100%が再生利用品およびスクラップ起源を由来としている場合は、「申告（Declaration）」タブのD45セルに申告してください</v>
      </c>
    </row>
    <row r="30" spans="1:10" ht="39" hidden="1">
      <c r="A30" s="81">
        <f ca="1">Declaration!B46</f>
        <v>0</v>
      </c>
      <c r="B30" s="80">
        <f>Declaration!D46</f>
        <v>0</v>
      </c>
      <c r="C30" s="137" t="str">
        <f ca="1">IF(H30=1,J30,I30)</f>
        <v>記入済</v>
      </c>
      <c r="D30" s="88" t="str">
        <f>IF(H30=1,"Click here to answer question 4 for Gold","")</f>
        <v/>
      </c>
      <c r="E30" s="17" t="s">
        <v>15</v>
      </c>
      <c r="F30" s="85">
        <f>F25</f>
        <v>0</v>
      </c>
      <c r="G30" s="63">
        <f>IF(B30=0,1,0)</f>
        <v>1</v>
      </c>
      <c r="H30" s="64">
        <f>F30*G30</f>
        <v>0</v>
      </c>
      <c r="I30" s="132" t="str">
        <f ca="1">OFFSET(L!$C$1,MATCH("Checker"&amp;"Comp",L!$A:$A,0)-1,SL,,)</f>
        <v>記入済</v>
      </c>
      <c r="J30" s="133" t="e">
        <f ca="1">OFFSET(L!$C$1,MATCH("Checker"&amp;ADDRESS(ROW(),COLUMN(),4),L!$A:$A,0)-1,SL,,)</f>
        <v>#N/A</v>
      </c>
    </row>
    <row r="31" spans="1:10" ht="39" hidden="1">
      <c r="A31" s="81">
        <f ca="1">Declaration!B47</f>
        <v>0</v>
      </c>
      <c r="B31" s="80">
        <f>Declaration!D47</f>
        <v>0</v>
      </c>
      <c r="C31" s="137" t="str">
        <f ca="1">IF(H31=1,J31,I31)</f>
        <v>記入済</v>
      </c>
      <c r="D31" s="88" t="str">
        <f>IF(H31=1,"Click here to answer question 4 for Tungsten","")</f>
        <v/>
      </c>
      <c r="E31" s="17" t="s">
        <v>15</v>
      </c>
      <c r="F31" s="85">
        <f>F26</f>
        <v>0</v>
      </c>
      <c r="G31" s="63">
        <f>IF(B31=0,1,0)</f>
        <v>1</v>
      </c>
      <c r="H31" s="64">
        <f>F31*G31</f>
        <v>0</v>
      </c>
      <c r="I31" s="132" t="str">
        <f ca="1">OFFSET(L!$C$1,MATCH("Checker"&amp;"Comp",L!$A:$A,0)-1,SL,,)</f>
        <v>記入済</v>
      </c>
      <c r="J31" s="133" t="e">
        <f ca="1">OFFSET(L!$C$1,MATCH("Checker"&amp;ADDRESS(ROW(),COLUMN(),4),L!$A:$A,0)-1,SL,,)</f>
        <v>#N/A</v>
      </c>
    </row>
    <row r="32" spans="1:10" ht="38.25">
      <c r="A32" s="80" t="str">
        <f ca="1">Declaration!B49</f>
        <v>5）サプライチェーン調査に回答した関連するサプライヤーは何パーセントですか？</v>
      </c>
      <c r="B32" s="83"/>
      <c r="C32" s="83"/>
      <c r="D32" s="87"/>
      <c r="E32" s="17" t="s">
        <v>15</v>
      </c>
      <c r="F32" s="84"/>
    </row>
    <row r="33" spans="1:10" ht="26.25">
      <c r="A33" s="81" t="str">
        <f ca="1">Declaration!B50</f>
        <v>コバルト</v>
      </c>
      <c r="B33" s="80">
        <f>Declaration!D50</f>
        <v>0</v>
      </c>
      <c r="C33" s="137" t="str">
        <f t="shared" ca="1" si="3"/>
        <v>記入済</v>
      </c>
      <c r="D33" s="232" t="str">
        <f>IF(H33=1,"Click here to answer question 5 for Cobalt","")</f>
        <v/>
      </c>
      <c r="E33" s="17" t="s">
        <v>19</v>
      </c>
      <c r="F33" s="85">
        <f>F23</f>
        <v>0</v>
      </c>
      <c r="G33" s="63">
        <f t="shared" si="8"/>
        <v>1</v>
      </c>
      <c r="H33" s="64">
        <f t="shared" si="9"/>
        <v>0</v>
      </c>
      <c r="I33" s="132" t="str">
        <f ca="1">OFFSET(L!$C$1,MATCH("Checker"&amp;"Comp",L!$A:$A,0)-1,SL,,)</f>
        <v>記入済</v>
      </c>
      <c r="J33" s="16" t="str">
        <f ca="1">OFFSET(L!$C$1,MATCH("Checker"&amp;ADDRESS(ROW(),COLUMN(),4),L!$A:$A,0)-1,SL,,)</f>
        <v>サプライヤーの製錬業者情報の回答率を割合（%）で「申告（Declaration）」タブのD50セルに記入してください</v>
      </c>
    </row>
    <row r="34" spans="1:10" ht="26.25">
      <c r="A34" s="81" t="str">
        <f ca="1">Declaration!B51</f>
        <v>マイカ</v>
      </c>
      <c r="B34" s="80">
        <f>Declaration!D51</f>
        <v>0</v>
      </c>
      <c r="C34" s="137" t="str">
        <f t="shared" ca="1" si="3"/>
        <v>記入済</v>
      </c>
      <c r="D34" s="86" t="str">
        <f>IF(H34=1,"Click here to answer question 5 for Mica","")</f>
        <v/>
      </c>
      <c r="E34" s="17" t="s">
        <v>19</v>
      </c>
      <c r="F34" s="85">
        <f>F24</f>
        <v>0</v>
      </c>
      <c r="G34" s="63">
        <f t="shared" si="8"/>
        <v>1</v>
      </c>
      <c r="H34" s="64">
        <f t="shared" si="9"/>
        <v>0</v>
      </c>
      <c r="I34" s="132" t="str">
        <f ca="1">OFFSET(L!$C$1,MATCH("Checker"&amp;"Comp",L!$A:$A,0)-1,SL,,)</f>
        <v>記入済</v>
      </c>
      <c r="J34" s="16" t="str">
        <f ca="1">OFFSET(L!$C$1,MATCH("Checker"&amp;ADDRESS(ROW(),COLUMN(),4),L!$A:$A,0)-1,SL,,)</f>
        <v>サプライヤーの製錬業者情報の回答率を割合（%）で「申告（Declaration）」タブのD51セルに記入してください</v>
      </c>
    </row>
    <row r="35" spans="1:10" ht="26.25" hidden="1">
      <c r="A35" s="81">
        <f ca="1">Declaration!B52</f>
        <v>0</v>
      </c>
      <c r="B35" s="80">
        <f>Declaration!D52</f>
        <v>0</v>
      </c>
      <c r="C35" s="137" t="str">
        <f t="shared" ca="1" si="3"/>
        <v>記入済</v>
      </c>
      <c r="D35" s="86" t="str">
        <f>IF(H35=1,"Click here to answer question 5 for Gold","")</f>
        <v/>
      </c>
      <c r="E35" s="17" t="s">
        <v>19</v>
      </c>
      <c r="F35" s="85">
        <f>F25</f>
        <v>0</v>
      </c>
      <c r="G35" s="63">
        <f t="shared" si="8"/>
        <v>1</v>
      </c>
      <c r="H35" s="64">
        <f t="shared" si="9"/>
        <v>0</v>
      </c>
      <c r="I35" s="132" t="str">
        <f ca="1">OFFSET(L!$C$1,MATCH("Checker"&amp;"Comp",L!$A:$A,0)-1,SL,,)</f>
        <v>記入済</v>
      </c>
      <c r="J35" s="16" t="e">
        <f ca="1">OFFSET(L!$C$1,MATCH("Checker"&amp;ADDRESS(ROW(),COLUMN(),4),L!$A:$A,0)-1,SL,,)</f>
        <v>#N/A</v>
      </c>
    </row>
    <row r="36" spans="1:10" ht="26.25" hidden="1">
      <c r="A36" s="81">
        <f ca="1">Declaration!B53</f>
        <v>0</v>
      </c>
      <c r="B36" s="80">
        <f>Declaration!D53</f>
        <v>0</v>
      </c>
      <c r="C36" s="137" t="str">
        <f t="shared" ca="1" si="3"/>
        <v>記入済</v>
      </c>
      <c r="D36" s="86" t="str">
        <f>IF(H36=1,"Click here to answer question 5 for Tungsten","")</f>
        <v/>
      </c>
      <c r="E36" s="17" t="s">
        <v>19</v>
      </c>
      <c r="F36" s="85">
        <f>F26</f>
        <v>0</v>
      </c>
      <c r="G36" s="63">
        <f t="shared" si="8"/>
        <v>1</v>
      </c>
      <c r="H36" s="64">
        <f t="shared" si="9"/>
        <v>0</v>
      </c>
      <c r="I36" s="132" t="str">
        <f ca="1">OFFSET(L!$C$1,MATCH("Checker"&amp;"Comp",L!$A:$A,0)-1,SL,,)</f>
        <v>記入済</v>
      </c>
      <c r="J36" s="16" t="e">
        <f ca="1">OFFSET(L!$C$1,MATCH("Checker"&amp;ADDRESS(ROW(),COLUMN(),4),L!$A:$A,0)-1,SL,,)</f>
        <v>#N/A</v>
      </c>
    </row>
    <row r="37" spans="1:10" ht="51">
      <c r="A37" s="80" t="str">
        <f ca="1">Declaration!B55</f>
        <v>6）貴社のサプライチェーンにコバルト又は天然マイカを供給する全ての製錬業者又は加工業者を特定しましたか？</v>
      </c>
      <c r="B37" s="83"/>
      <c r="C37" s="83"/>
      <c r="D37" s="87"/>
      <c r="E37" s="17" t="s">
        <v>13</v>
      </c>
      <c r="F37" s="84"/>
    </row>
    <row r="38" spans="1:10" ht="51.75">
      <c r="A38" s="81" t="str">
        <f ca="1">Declaration!B56</f>
        <v>コバルト</v>
      </c>
      <c r="B38" s="80">
        <f>Declaration!D56</f>
        <v>0</v>
      </c>
      <c r="C38" s="137" t="str">
        <f t="shared" ca="1" si="3"/>
        <v>記入済</v>
      </c>
      <c r="D38" s="232" t="str">
        <f>IF(H38=1,"Click here to answer question 6 for Cobalt","")</f>
        <v/>
      </c>
      <c r="E38" s="17" t="s">
        <v>13</v>
      </c>
      <c r="F38" s="85">
        <f>F23</f>
        <v>0</v>
      </c>
      <c r="G38" s="63">
        <f t="shared" si="8"/>
        <v>1</v>
      </c>
      <c r="H38" s="64">
        <f t="shared" si="9"/>
        <v>0</v>
      </c>
      <c r="I38" s="132" t="str">
        <f ca="1">OFFSET(L!$C$1,MATCH("Checker"&amp;"Comp",L!$A:$A,0)-1,SL,,)</f>
        <v>記入済</v>
      </c>
      <c r="J38" s="16" t="str">
        <f ca="1">OFFSET(L!$C$1,MATCH("Checker"&amp;ADDRESS(ROW(),COLUMN(),4),L!$A:$A,0)-1,SL,,)</f>
        <v>申告範囲内で全ての製錬業者名が本調査回答で提供された場合は、「申告」タブのD56セルに申告してください</v>
      </c>
    </row>
    <row r="39" spans="1:10" ht="51.75">
      <c r="A39" s="81" t="str">
        <f ca="1">Declaration!B57</f>
        <v>マイカ</v>
      </c>
      <c r="B39" s="80">
        <f>Declaration!D57</f>
        <v>0</v>
      </c>
      <c r="C39" s="137" t="str">
        <f t="shared" ca="1" si="3"/>
        <v>記入済</v>
      </c>
      <c r="D39" s="88" t="str">
        <f>IF(H39=1,"Click here to answer question 6 for Mica","")</f>
        <v/>
      </c>
      <c r="E39" s="17" t="s">
        <v>13</v>
      </c>
      <c r="F39" s="85">
        <f>F24</f>
        <v>0</v>
      </c>
      <c r="G39" s="63">
        <f t="shared" si="8"/>
        <v>1</v>
      </c>
      <c r="H39" s="64">
        <f t="shared" si="9"/>
        <v>0</v>
      </c>
      <c r="I39" s="132" t="str">
        <f ca="1">OFFSET(L!$C$1,MATCH("Checker"&amp;"Comp",L!$A:$A,0)-1,SL,,)</f>
        <v>記入済</v>
      </c>
      <c r="J39" s="16" t="str">
        <f ca="1">OFFSET(L!$C$1,MATCH("Checker"&amp;ADDRESS(ROW(),COLUMN(),4),L!$A:$A,0)-1,SL,,)</f>
        <v>申告範囲内で全ての製錬業者名が本調査回答で提供された場合は、「申告」タブのD57セルに申告してください</v>
      </c>
    </row>
    <row r="40" spans="1:10" ht="51.75" hidden="1">
      <c r="A40" s="81">
        <f ca="1">Declaration!B58</f>
        <v>0</v>
      </c>
      <c r="B40" s="80">
        <f>Declaration!D58</f>
        <v>0</v>
      </c>
      <c r="C40" s="137" t="str">
        <f t="shared" ca="1" si="3"/>
        <v>記入済</v>
      </c>
      <c r="D40" s="88" t="str">
        <f>IF(H40=1,"Click here to answer question 6 for Gold","")</f>
        <v/>
      </c>
      <c r="E40" s="17" t="s">
        <v>13</v>
      </c>
      <c r="F40" s="85">
        <f>F25</f>
        <v>0</v>
      </c>
      <c r="G40" s="63">
        <f t="shared" si="8"/>
        <v>1</v>
      </c>
      <c r="H40" s="64">
        <f t="shared" si="9"/>
        <v>0</v>
      </c>
      <c r="I40" s="132" t="str">
        <f ca="1">OFFSET(L!$C$1,MATCH("Checker"&amp;"Comp",L!$A:$A,0)-1,SL,,)</f>
        <v>記入済</v>
      </c>
      <c r="J40" s="16" t="e">
        <f ca="1">OFFSET(L!$C$1,MATCH("Checker"&amp;ADDRESS(ROW(),COLUMN(),4),L!$A:$A,0)-1,SL,,)</f>
        <v>#N/A</v>
      </c>
    </row>
    <row r="41" spans="1:10" ht="51.75" hidden="1">
      <c r="A41" s="81">
        <f ca="1">Declaration!B59</f>
        <v>0</v>
      </c>
      <c r="B41" s="80">
        <f>Declaration!D59</f>
        <v>0</v>
      </c>
      <c r="C41" s="137" t="str">
        <f t="shared" ca="1" si="3"/>
        <v>記入済</v>
      </c>
      <c r="D41" s="88" t="str">
        <f>IF(H41=1,"Click here to answer question 6 for Tungsten","")</f>
        <v/>
      </c>
      <c r="E41" s="17" t="s">
        <v>13</v>
      </c>
      <c r="F41" s="85">
        <f>F26</f>
        <v>0</v>
      </c>
      <c r="G41" s="63">
        <f t="shared" si="8"/>
        <v>1</v>
      </c>
      <c r="H41" s="64">
        <f t="shared" si="9"/>
        <v>0</v>
      </c>
      <c r="I41" s="132" t="str">
        <f ca="1">OFFSET(L!$C$1,MATCH("Checker"&amp;"Comp",L!$A:$A,0)-1,SL,,)</f>
        <v>記入済</v>
      </c>
      <c r="J41" s="16" t="e">
        <f ca="1">OFFSET(L!$C$1,MATCH("Checker"&amp;ADDRESS(ROW(),COLUMN(),4),L!$A:$A,0)-1,SL,,)</f>
        <v>#N/A</v>
      </c>
    </row>
    <row r="42" spans="1:10" ht="63.75">
      <c r="A42" s="80" t="str">
        <f ca="1">Declaration!B61</f>
        <v>7）貴社は受領した該当する全ての製錬業者又は加工業者情報を、この申告で報告していますか？</v>
      </c>
      <c r="B42" s="83"/>
      <c r="C42" s="83"/>
      <c r="D42" s="87"/>
      <c r="E42" s="17" t="s">
        <v>16</v>
      </c>
      <c r="F42" s="84"/>
    </row>
    <row r="43" spans="1:10" ht="39">
      <c r="A43" s="81" t="str">
        <f ca="1">Declaration!B62</f>
        <v>コバルト</v>
      </c>
      <c r="B43" s="80">
        <f>Declaration!D62</f>
        <v>0</v>
      </c>
      <c r="C43" s="137" t="str">
        <f t="shared" ca="1" si="3"/>
        <v>記入済</v>
      </c>
      <c r="D43" s="232" t="str">
        <f>IF(H43=1,"Click here to answer question 7 for Cobalt","")</f>
        <v/>
      </c>
      <c r="E43" s="17" t="s">
        <v>15</v>
      </c>
      <c r="F43" s="85">
        <f>F23</f>
        <v>0</v>
      </c>
      <c r="G43" s="63">
        <f t="shared" si="8"/>
        <v>1</v>
      </c>
      <c r="H43" s="64">
        <f t="shared" si="9"/>
        <v>0</v>
      </c>
      <c r="I43" s="132" t="str">
        <f ca="1">OFFSET(L!$C$1,MATCH("Checker"&amp;"Comp",L!$A:$A,0)-1,SL,,)</f>
        <v>記入済</v>
      </c>
      <c r="J43" s="16" t="str">
        <f ca="1">OFFSET(L!$C$1,MATCH("Checker"&amp;ADDRESS(ROW(),COLUMN(),4),L!$A:$A,0)-1,SL,,)</f>
        <v>全ての該当するコバルト製錬業者情報が提供された場合は、「申告（Declaration）」タブのD62セルに申告してください</v>
      </c>
    </row>
    <row r="44" spans="1:10" ht="39">
      <c r="A44" s="81" t="str">
        <f ca="1">Declaration!B63</f>
        <v>マイカ</v>
      </c>
      <c r="B44" s="80">
        <f>Declaration!D63</f>
        <v>0</v>
      </c>
      <c r="C44" s="137" t="str">
        <f t="shared" ca="1" si="3"/>
        <v>記入済</v>
      </c>
      <c r="D44" s="89" t="str">
        <f>IF(H44=1,"Click here to answer question 7 for Mica","")</f>
        <v/>
      </c>
      <c r="E44" s="17" t="s">
        <v>15</v>
      </c>
      <c r="F44" s="85">
        <f>F24</f>
        <v>0</v>
      </c>
      <c r="G44" s="63">
        <f t="shared" si="8"/>
        <v>1</v>
      </c>
      <c r="H44" s="64">
        <f t="shared" si="9"/>
        <v>0</v>
      </c>
      <c r="I44" s="132" t="str">
        <f ca="1">OFFSET(L!$C$1,MATCH("Checker"&amp;"Comp",L!$A:$A,0)-1,SL,,)</f>
        <v>記入済</v>
      </c>
      <c r="J44" s="16" t="str">
        <f ca="1">OFFSET(L!$C$1,MATCH("Checker"&amp;ADDRESS(ROW(),COLUMN(),4),L!$A:$A,0)-1,SL,,)</f>
        <v>全ての該当するマイカ加工業者情報が提供された場合は、「申告（Declaration）」タブのD63セルに申告してください</v>
      </c>
    </row>
    <row r="45" spans="1:10" ht="39" hidden="1" customHeight="1">
      <c r="A45" s="81">
        <f ca="1">Declaration!B64</f>
        <v>0</v>
      </c>
      <c r="B45" s="80">
        <f>Declaration!D64</f>
        <v>0</v>
      </c>
      <c r="C45" s="137" t="str">
        <f t="shared" ca="1" si="3"/>
        <v>記入済</v>
      </c>
      <c r="D45" s="89" t="str">
        <f>IF(H45=1,"Click here to answer question 7 for Gold","")</f>
        <v/>
      </c>
      <c r="E45" s="17" t="s">
        <v>15</v>
      </c>
      <c r="F45" s="85">
        <f>F25</f>
        <v>0</v>
      </c>
      <c r="G45" s="63">
        <f t="shared" si="8"/>
        <v>1</v>
      </c>
      <c r="H45" s="64">
        <f t="shared" si="9"/>
        <v>0</v>
      </c>
      <c r="I45" s="132" t="str">
        <f ca="1">OFFSET(L!$C$1,MATCH("Checker"&amp;"Comp",L!$A:$A,0)-1,SL,,)</f>
        <v>記入済</v>
      </c>
      <c r="J45" s="16" t="s">
        <v>57</v>
      </c>
    </row>
    <row r="46" spans="1:10" ht="39" hidden="1" customHeight="1">
      <c r="A46" s="81">
        <f ca="1">Declaration!B65</f>
        <v>0</v>
      </c>
      <c r="B46" s="80">
        <f>Declaration!D65</f>
        <v>0</v>
      </c>
      <c r="C46" s="137" t="str">
        <f t="shared" ca="1" si="3"/>
        <v>記入済</v>
      </c>
      <c r="D46" s="89" t="str">
        <f>IF(H46=1,"Click here to answer question 7 for Tungsten","")</f>
        <v/>
      </c>
      <c r="E46" s="17" t="s">
        <v>15</v>
      </c>
      <c r="F46" s="85">
        <f>F26</f>
        <v>0</v>
      </c>
      <c r="G46" s="63">
        <f t="shared" si="8"/>
        <v>1</v>
      </c>
      <c r="H46" s="64">
        <f t="shared" si="9"/>
        <v>0</v>
      </c>
      <c r="I46" s="132" t="str">
        <f ca="1">OFFSET(L!$C$1,MATCH("Checker"&amp;"Comp",L!$A:$A,0)-1,SL,,)</f>
        <v>記入済</v>
      </c>
    </row>
    <row r="47" spans="1:10" ht="25.5">
      <c r="A47" s="80" t="str">
        <f ca="1">Declaration!B68</f>
        <v>質問</v>
      </c>
      <c r="B47" s="83"/>
      <c r="C47" s="83"/>
      <c r="D47" s="87"/>
      <c r="E47" s="17" t="s">
        <v>19</v>
      </c>
      <c r="F47" s="84"/>
      <c r="G47" s="84"/>
      <c r="H47" s="84"/>
    </row>
    <row r="48" spans="1:10" ht="39">
      <c r="A48" s="80" t="str">
        <f ca="1">Declaration!B69</f>
        <v>A. 責任ある鉱物調達方針を確定しましたか？</v>
      </c>
      <c r="B48" s="80">
        <f>Declaration!D69</f>
        <v>0</v>
      </c>
      <c r="C48" s="137" t="str">
        <f t="shared" ca="1" si="3"/>
        <v>記入済</v>
      </c>
      <c r="D48" s="230" t="str">
        <f>IF(H48=1,"Click here to answer question (A)","")</f>
        <v/>
      </c>
      <c r="E48" s="17" t="s">
        <v>15</v>
      </c>
      <c r="F48" s="85">
        <f>IF(SUM(F$23:F$24)=0,0,1)</f>
        <v>0</v>
      </c>
      <c r="G48" s="63">
        <f t="shared" si="8"/>
        <v>1</v>
      </c>
      <c r="H48" s="64">
        <f t="shared" si="9"/>
        <v>0</v>
      </c>
      <c r="I48" s="132" t="str">
        <f ca="1">OFFSET(L!$C$1,MATCH("Checker"&amp;"Comp",L!$A:$A,0)-1,SL,,)</f>
        <v>記入済</v>
      </c>
      <c r="J48" s="16" t="str">
        <f ca="1">OFFSET(L!$C$1,MATCH("Checker"&amp;ADDRESS(ROW(),COLUMN(),4),L!$A:$A,0)-1,SL,,)</f>
        <v>貴社に、責任ある鉱物調達方針がある場合は、「申告（Declaration）」タブのD69セルに回答してください</v>
      </c>
    </row>
    <row r="49" spans="1:12" ht="39">
      <c r="A49" s="80" t="str">
        <f ca="1">Declaration!B71</f>
        <v>B.その責任ある鉱物調達方針は、貴社のホームページで閲覧できますか？（回答が「はい」の場合、その方針が掲載されているURLをコメント欄に記入する）</v>
      </c>
      <c r="B49" s="80">
        <f>Declaration!D71</f>
        <v>0</v>
      </c>
      <c r="C49" s="137" t="str">
        <f ca="1">IF(H49=1,J49,I49)</f>
        <v>記入済</v>
      </c>
      <c r="D49" s="195" t="str">
        <f>IF(H49=1,"Click here to answer question (B)","")</f>
        <v/>
      </c>
      <c r="E49" s="17" t="s">
        <v>15</v>
      </c>
      <c r="F49" s="85">
        <f t="shared" ref="F49:F58" si="10">F$48</f>
        <v>0</v>
      </c>
      <c r="G49" s="63">
        <f t="shared" si="8"/>
        <v>1</v>
      </c>
      <c r="H49" s="64">
        <f t="shared" si="9"/>
        <v>0</v>
      </c>
      <c r="I49" s="132" t="str">
        <f ca="1">OFFSET(L!$C$1,MATCH("Checker"&amp;"Comp",L!$A:$A,0)-1,SL,,)</f>
        <v>記入済</v>
      </c>
      <c r="J49" s="16" t="str">
        <f ca="1">OFFSET(L!$C$1,MATCH("Checker"&amp;ADDRESS(ROW(),COLUMN(),4),L!$A:$A,0)-1,SL,,)</f>
        <v>貴社に、貴社のウェブサイトで公に利用可能な貴社の責任ある鉱物調達方針がある場合は、「申告（Declaration）」タブのD71セルに回答してください</v>
      </c>
    </row>
    <row r="50" spans="1:12" ht="39">
      <c r="A50" s="80" t="s">
        <v>58</v>
      </c>
      <c r="B50" s="80">
        <f>Declaration!G71</f>
        <v>0</v>
      </c>
      <c r="C50" s="80" t="str">
        <f ca="1">IF(H50=1,J50,I50)</f>
        <v>記入済</v>
      </c>
      <c r="D50" s="206" t="str">
        <f>IF(H50=1,"Click here to answer question (C)","")</f>
        <v/>
      </c>
      <c r="E50" s="17" t="s">
        <v>15</v>
      </c>
      <c r="F50" s="85">
        <f>IF(AND(F49=1,B49="Yes"),1,0)</f>
        <v>0</v>
      </c>
      <c r="G50" s="63">
        <f>IF(LEN(B50)&gt;1,0,1)</f>
        <v>1</v>
      </c>
      <c r="H50" s="64">
        <f>F50*G50</f>
        <v>0</v>
      </c>
      <c r="I50" s="132" t="str">
        <f ca="1">OFFSET(L!$C$1,MATCH("Checker"&amp;"Comp",L!$A:$A,0)-1,SL,,)</f>
        <v>記入済</v>
      </c>
      <c r="J50" s="16" t="str">
        <f ca="1">OFFSET(L!$C$1,MATCH("Checker"&amp;ADDRESS(ROW(),COLUMN(),4),L!$A:$A,0)-1,SL,,)</f>
        <v>質問Bの回答が「Yes」の場合は、申告（Declaration）シートのG71セルにURLを記入してください。URLの形式は「www.companyname.com」にしてください。</v>
      </c>
    </row>
    <row r="51" spans="1:12" ht="67.5" customHeight="1">
      <c r="A51" s="80" t="str">
        <f ca="1">Declaration!B73</f>
        <v>C.貴社は直接サプライヤーに対し、独立民間監査会社の監査プログラムによりデュー・ディリジェンス業務が認証された製錬業者からコバルトを、また認証された加工業者から天然マイカを調達することを要求していますか？</v>
      </c>
      <c r="B51" s="83"/>
      <c r="C51" s="83"/>
      <c r="D51" s="87"/>
      <c r="E51" s="17" t="s">
        <v>15</v>
      </c>
      <c r="F51" s="85"/>
      <c r="G51" s="63"/>
      <c r="H51" s="64"/>
      <c r="I51" s="132"/>
      <c r="J51" s="16" t="e">
        <f ca="1">OFFSET(L!$C$1,MATCH("Checker"&amp;ADDRESS(ROW(),COLUMN(),4),L!$A:$A,0)-1,SL,,)</f>
        <v>#N/A</v>
      </c>
    </row>
    <row r="52" spans="1:12" ht="15">
      <c r="A52" s="80" t="str">
        <f ca="1">Declaration!B74</f>
        <v>コバルト</v>
      </c>
      <c r="B52" s="80">
        <f>Declaration!D74</f>
        <v>0</v>
      </c>
      <c r="C52" s="137" t="str">
        <f t="shared" ca="1" si="3"/>
        <v>記入済</v>
      </c>
      <c r="D52" s="195" t="str">
        <f>IF(H52=1,"Click here to answer question (C)","")</f>
        <v/>
      </c>
      <c r="E52" s="17"/>
      <c r="F52" s="85">
        <f>F23*F$48</f>
        <v>0</v>
      </c>
      <c r="G52" s="63">
        <f t="shared" si="8"/>
        <v>1</v>
      </c>
      <c r="H52" s="64">
        <f t="shared" si="9"/>
        <v>0</v>
      </c>
      <c r="I52" s="132" t="str">
        <f ca="1">OFFSET(L!$C$1,MATCH("Checker"&amp;"Comp",L!$A:$A,0)-1,SL,,)</f>
        <v>記入済</v>
      </c>
      <c r="J52" s="16"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コバルトを調達することを要求する場合は、「申告（Declaration）」タブのD74セルに申告してください</v>
      </c>
    </row>
    <row r="53" spans="1:12" ht="15">
      <c r="A53" s="80" t="str">
        <f ca="1">Declaration!B75</f>
        <v>マイカ</v>
      </c>
      <c r="B53" s="80">
        <f>Declaration!D75</f>
        <v>0</v>
      </c>
      <c r="C53" s="137" t="str">
        <f t="shared" ca="1" si="3"/>
        <v>記入済</v>
      </c>
      <c r="D53" s="195" t="str">
        <f>IF(H53=1,"Click here to answer question (C)","")</f>
        <v/>
      </c>
      <c r="E53" s="17"/>
      <c r="F53" s="85">
        <f>F24*F$48</f>
        <v>0</v>
      </c>
      <c r="G53" s="63">
        <f t="shared" si="8"/>
        <v>1</v>
      </c>
      <c r="H53" s="64">
        <f t="shared" si="9"/>
        <v>0</v>
      </c>
      <c r="I53" s="132" t="str">
        <f ca="1">OFFSET(L!$C$1,MATCH("Checker"&amp;"Comp",L!$A:$A,0)-1,SL,,)</f>
        <v>記入済</v>
      </c>
      <c r="J53" s="16" t="str">
        <f ca="1">OFFSET(L!$C$1,MATCH("Checker"&amp;ADDRESS(ROW(),COLUMN(),4),L!$A:$A,0)-1,SL,,)</f>
        <v>貴社は直接サプライヤーに対し、責任ある鉱物保証プロセス（Responsible Minerals Assurance Process）のような独立した第三者の監査プログラムによりデュー・ディリジェンス業務が認証された加工業者から、マイカを調達することを要求する場合は、「申告（Declaration）」タブのD75セルに申告してください</v>
      </c>
    </row>
    <row r="54" spans="1:12" ht="39">
      <c r="A54" s="80" t="str">
        <f ca="1">Declaration!B77</f>
        <v xml:space="preserve">D. 責任ある鉱物調達のためのデュー・ディリジェンス対策を実施していますか？
</v>
      </c>
      <c r="B54" s="80">
        <f>Declaration!D77</f>
        <v>0</v>
      </c>
      <c r="C54" s="137" t="str">
        <f ca="1">IF(H54=1,J54,I54)</f>
        <v>記入済</v>
      </c>
      <c r="D54" s="195" t="str">
        <f>IF(H54=1,"Click here to answer question (D)","")</f>
        <v/>
      </c>
      <c r="E54" s="17" t="s">
        <v>15</v>
      </c>
      <c r="F54" s="85">
        <f t="shared" si="10"/>
        <v>0</v>
      </c>
      <c r="G54" s="63">
        <f t="shared" si="8"/>
        <v>1</v>
      </c>
      <c r="H54" s="64">
        <f t="shared" si="9"/>
        <v>0</v>
      </c>
      <c r="I54" s="132" t="str">
        <f ca="1">OFFSET(L!$C$1,MATCH("Checker"&amp;"Comp",L!$A:$A,0)-1,SL,,)</f>
        <v>記入済</v>
      </c>
      <c r="J54" s="16" t="str">
        <f ca="1">OFFSET(L!$C$1,MATCH("Checker"&amp;ADDRESS(ROW(),COLUMN(),4),L!$A:$A,0)-1,SL,,)</f>
        <v>貴社が責任ある調達のデュー・ディリジェンス対策を実施している場合は、「申告（Declaration）」タブのD77セルに回答してください</v>
      </c>
    </row>
    <row r="55" spans="1:12" ht="39">
      <c r="A55" s="80" t="str">
        <f ca="1">Declaration!B79</f>
        <v>E.貴社は関連するサプライヤーのコバルト及び／又は天然マイカサプライチェーン調査を行っていますか？</v>
      </c>
      <c r="B55" s="80">
        <f>IF(Declaration!D79="No",Declaration!D79,IF(Declaration!D79="Yes, in conformance with IPC1755 (e.g. EMRT)",Declaration!D79,IF(Declaration!D79="Yes, Using Other Format (Describe)",Declaration!G79,0)))</f>
        <v>0</v>
      </c>
      <c r="C55" s="137" t="str">
        <f t="shared" ca="1" si="3"/>
        <v>記入済</v>
      </c>
      <c r="D55" s="195" t="str">
        <f>IF(H55=1,"Click here to answer question (E)","")</f>
        <v/>
      </c>
      <c r="E55" s="17" t="s">
        <v>15</v>
      </c>
      <c r="F55" s="85">
        <f t="shared" si="10"/>
        <v>0</v>
      </c>
      <c r="G55" s="63">
        <f>IF(B55=0,1,0)</f>
        <v>1</v>
      </c>
      <c r="H55" s="64">
        <f t="shared" si="9"/>
        <v>0</v>
      </c>
      <c r="I55" s="132" t="str">
        <f ca="1">OFFSET(L!$C$1,MATCH("Checker"&amp;"Comp",L!$A:$A,0)-1,SL,,)</f>
        <v>記入済</v>
      </c>
      <c r="J55" s="16" t="str">
        <f ca="1">OFFSET(L!$C$1,MATCH("Checker"&amp;ADDRESS(ROW(),COLUMN(),4),L!$A:$A,0)-1,SL,,)</f>
        <v>貴社がコバルト又は天然マイカサプライチェーン調査を実施する場合は、「申告（Declaration）」タブのD79セルに回答してください</v>
      </c>
    </row>
    <row r="56" spans="1:12" ht="38.25" hidden="1" customHeight="1">
      <c r="A56" s="80"/>
      <c r="B56" s="80"/>
      <c r="C56" s="137"/>
      <c r="D56" s="86"/>
      <c r="E56" s="17"/>
      <c r="F56" s="85"/>
      <c r="G56" s="63"/>
      <c r="H56" s="64"/>
      <c r="I56" s="132"/>
    </row>
    <row r="57" spans="1:12" ht="39">
      <c r="A57" s="80" t="str">
        <f ca="1">Declaration!B81</f>
        <v>F.サプライヤーからのデュー・ディリジェンス情報を貴社の期待を基に検証していますか？</v>
      </c>
      <c r="B57" s="80">
        <f>Declaration!D81</f>
        <v>0</v>
      </c>
      <c r="C57" s="137" t="str">
        <f ca="1">IF(H57=1,J57,I57)</f>
        <v>記入済</v>
      </c>
      <c r="D57" s="195" t="str">
        <f>IF(H57=1,"Click here to answer question (F)","")</f>
        <v/>
      </c>
      <c r="E57" s="17" t="s">
        <v>15</v>
      </c>
      <c r="F57" s="85">
        <f t="shared" si="10"/>
        <v>0</v>
      </c>
      <c r="G57" s="63">
        <f>IF(B57=0,1,0)</f>
        <v>1</v>
      </c>
      <c r="H57" s="64">
        <f t="shared" si="9"/>
        <v>0</v>
      </c>
      <c r="I57" s="132" t="str">
        <f ca="1">OFFSET(L!$C$1,MATCH("Checker"&amp;"Comp",L!$A:$A,0)-1,SL,,)</f>
        <v>記入済</v>
      </c>
      <c r="J57" s="16" t="str">
        <f ca="1">OFFSET(L!$C$1,MATCH("Checker"&amp;ADDRESS(ROW(),COLUMN(),4),L!$A:$A,0)-1,SL,,)</f>
        <v>サプライヤーからの回答を貴社の期待と照らして検証する場合は、「申告（Declaration）」タブのD81セルに回答してください</v>
      </c>
    </row>
    <row r="58" spans="1:12" ht="39">
      <c r="A58" s="80" t="str">
        <f ca="1">Declaration!B83</f>
        <v>G. 貴社の検証プロセスには是正措置管理が含まれていますか？</v>
      </c>
      <c r="B58" s="80">
        <f>Declaration!D83</f>
        <v>0</v>
      </c>
      <c r="C58" s="137" t="str">
        <f t="shared" ca="1" si="3"/>
        <v>記入済</v>
      </c>
      <c r="D58" s="195" t="str">
        <f>IF(H58=1,"Click here to answer question (G)","")</f>
        <v/>
      </c>
      <c r="E58" s="17" t="s">
        <v>15</v>
      </c>
      <c r="F58" s="85">
        <f t="shared" si="10"/>
        <v>0</v>
      </c>
      <c r="G58" s="63">
        <f t="shared" si="8"/>
        <v>1</v>
      </c>
      <c r="H58" s="64">
        <f t="shared" si="9"/>
        <v>0</v>
      </c>
      <c r="I58" s="132" t="str">
        <f ca="1">OFFSET(L!$C$1,MATCH("Checker"&amp;"Comp",L!$A:$A,0)-1,SL,,)</f>
        <v>記入済</v>
      </c>
      <c r="J58" s="16" t="str">
        <f ca="1">OFFSET(L!$C$1,MATCH("Checker"&amp;ADDRESS(ROW(),COLUMN(),4),L!$A:$A,0)-1,SL,,)</f>
        <v>貴社の検証プロセスに是正措置管理を含む場合は、「申告（Declaration）」タブのD83セルに回答してください</v>
      </c>
    </row>
    <row r="59" spans="1:12" ht="39">
      <c r="A59" s="81" t="s">
        <v>59</v>
      </c>
      <c r="B59" s="80" t="str">
        <f>IF(G59=1,"No products or item numbers listed","One or more product / item numbers have been provided")</f>
        <v>One or more product / item numbers have been provided</v>
      </c>
      <c r="C59" s="80" t="str">
        <f ca="1">IF(H59=1,J59,I59)</f>
        <v>記入済</v>
      </c>
      <c r="D59" s="195" t="str">
        <f>IF(H59=1,"Click here to enter detail on Product List tab","")</f>
        <v/>
      </c>
      <c r="E59" s="17" t="s">
        <v>15</v>
      </c>
      <c r="F59" s="85">
        <f>IF(B5=Declaration!Q9,1,0)</f>
        <v>1</v>
      </c>
      <c r="G59" s="63">
        <f>IF('Product List'!B6="",1,0)</f>
        <v>0</v>
      </c>
      <c r="H59" s="64">
        <f>F59*G59</f>
        <v>0</v>
      </c>
      <c r="I59" s="132" t="str">
        <f ca="1">OFFSET(L!$C$1,MATCH("Checker"&amp;"Comp",L!$A:$A,0)-1,SL,,)</f>
        <v>記入済</v>
      </c>
      <c r="J59" s="16">
        <f ca="1">OFFSET(L!$C$1,MATCH("Checker"&amp;ADDRESS(ROW(),COLUMN(),4),L!$A:$A,0)-1,SL,,)</f>
        <v>0</v>
      </c>
    </row>
    <row r="60" spans="1:12" ht="39">
      <c r="A60" s="136" t="s">
        <v>60</v>
      </c>
      <c r="B60" s="80"/>
      <c r="C60" s="137" t="str">
        <f ca="1">IF(H60=1,J60,I60)</f>
        <v>記入済</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記入済</v>
      </c>
      <c r="J60" s="16" t="str">
        <f ca="1">OFFSET(L!$C$1,MATCH("Checker"&amp;ADDRESS(ROW(),COLUMN(),4),L!$A:$A,0)-1,SL,,)</f>
        <v>サプライチェーンに鉱物を提供しているコバルト製錬業者のリストを、「製錬業者リスト（Smelter List）」タブに記入してください</v>
      </c>
      <c r="K60" s="135">
        <f>IF(H15&gt;0,1,0)</f>
        <v>0</v>
      </c>
      <c r="L60" s="16" t="e">
        <f ca="1">OFFSET(L!$C$1,MATCH("Checker"&amp;ADDRESS(ROW(),COLUMN(),4),L!$A:$A,0)-1,SL,,)</f>
        <v>#N/A</v>
      </c>
    </row>
    <row r="61" spans="1:12" ht="39">
      <c r="A61" s="136" t="s">
        <v>61</v>
      </c>
      <c r="B61" s="80"/>
      <c r="C61" s="137" t="str">
        <f ca="1">IF(H61=1,J61,I61)</f>
        <v>記入済</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記入済</v>
      </c>
      <c r="J61" s="16" t="str">
        <f ca="1">OFFSET(L!$C$1,MATCH("Checker"&amp;ADDRESS(ROW(),COLUMN(),4),L!$A:$A,0)-1,SL,,)</f>
        <v>サプライチェーンに鉱物を提供しているマイカ加工業者のリストを、「製錬業者リスト（Smelter List）」タブに記入してください</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記入済</v>
      </c>
      <c r="K62" s="135"/>
    </row>
    <row r="63" spans="1:12" ht="41.1" hidden="1" customHeight="1">
      <c r="A63" s="81"/>
      <c r="B63" s="80"/>
      <c r="C63" s="80"/>
      <c r="D63" s="86"/>
      <c r="E63" s="17" t="s">
        <v>15</v>
      </c>
      <c r="F63" s="85"/>
      <c r="G63" s="63"/>
      <c r="H63" s="64"/>
      <c r="I63" s="132" t="str">
        <f ca="1">OFFSET(L!$C$1,MATCH("Checker"&amp;"Comp",L!$A:$A,0)-1,SL,,)</f>
        <v>記入済</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記入済</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tabSelected="1" zoomScale="80" zoomScaleNormal="80" workbookViewId="0">
      <pane xSplit="2" ySplit="5" topLeftCell="C6" activePane="bottomRight" state="frozen"/>
      <selection pane="topRight" activeCell="B24" sqref="B24:J24"/>
      <selection pane="bottomLeft" activeCell="B24" sqref="B24:J24"/>
      <selection pane="bottomRight" activeCell="B32" sqref="B32"/>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8" t="str">
        <f ca="1">OFFSET(L!$C$1,MATCH("Product List"&amp;ADDRESS(ROW(),COLUMN(),4),L!$A:$A,0)-1,SL,,)</f>
        <v>「Declaration（申告）」シートの申告範囲で「製品」レベルを選択した場合のみ記入が必須となります</v>
      </c>
      <c r="B1" s="409"/>
      <c r="C1" s="409"/>
      <c r="D1" s="409"/>
      <c r="E1" s="108"/>
    </row>
    <row r="2" spans="1:35">
      <c r="A2" s="20"/>
      <c r="B2" s="110"/>
      <c r="C2" s="110"/>
      <c r="D2"/>
      <c r="E2" s="21"/>
    </row>
    <row r="3" spans="1:35">
      <c r="A3" s="20"/>
      <c r="B3" s="110"/>
      <c r="C3" s="110"/>
      <c r="D3" s="110"/>
      <c r="E3" s="21"/>
    </row>
    <row r="4" spans="1:35" ht="15.75" customHeight="1">
      <c r="A4" s="20"/>
      <c r="B4" s="407" t="s">
        <v>51</v>
      </c>
      <c r="C4" s="407"/>
      <c r="D4" s="407"/>
      <c r="E4" s="21"/>
    </row>
    <row r="5" spans="1:35" ht="15.75">
      <c r="A5" s="122"/>
      <c r="B5" s="124" t="str">
        <f ca="1">OFFSET(L!$C$1,MATCH("Product List"&amp;ADDRESS(ROW(),COLUMN(),4),L!$A:$A,0)-1,SL,,)</f>
        <v>製造者の製品番号(*)</v>
      </c>
      <c r="C5" s="124" t="str">
        <f ca="1">OFFSET(L!$C$1,MATCH("Product List"&amp;ADDRESS(ROW(),COLUMN(),4),L!$A:$A,0)-1,SL,,)</f>
        <v>製造者の製品名</v>
      </c>
      <c r="D5" s="65" t="str">
        <f ca="1">OFFSET(L!$C$1,MATCH("Product List"&amp;ADDRESS(ROW(),COLUMN(),4),L!$A:$A,0)-1,SL,,)</f>
        <v>備考</v>
      </c>
      <c r="E5" s="21"/>
    </row>
    <row r="6" spans="1:35" s="24" customFormat="1" ht="14.25">
      <c r="A6" s="119"/>
      <c r="B6" s="315" t="s">
        <v>12826</v>
      </c>
      <c r="C6" s="315" t="s">
        <v>12826</v>
      </c>
      <c r="D6" s="316" t="s">
        <v>12833</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315" t="s">
        <v>12827</v>
      </c>
      <c r="C7" s="315" t="s">
        <v>12827</v>
      </c>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315" t="s">
        <v>12828</v>
      </c>
      <c r="C8" s="315" t="s">
        <v>12828</v>
      </c>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315" t="s">
        <v>12829</v>
      </c>
      <c r="C9" s="315" t="s">
        <v>12829</v>
      </c>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315" t="s">
        <v>12830</v>
      </c>
      <c r="C10" s="315" t="s">
        <v>12830</v>
      </c>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315" t="s">
        <v>12831</v>
      </c>
      <c r="C11" s="315" t="s">
        <v>12831</v>
      </c>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315" t="s">
        <v>12832</v>
      </c>
      <c r="C12" s="315" t="s">
        <v>12832</v>
      </c>
      <c r="D12" s="90" t="s">
        <v>12834</v>
      </c>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315"/>
      <c r="C13" s="315"/>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10" t="str">
        <f ca="1">OFFSET(L!$C$1,MATCH("General"&amp;"Cpy",L!$A:$A,0)-1,SL,,)</f>
        <v>© 2023 Responsible Minerals Initiative. 無断転載・再配布禁止。</v>
      </c>
      <c r="C1001" s="410"/>
      <c r="D1001" s="410"/>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11" t="str">
        <f ca="1">OFFSET(L!$C$1,MATCH("Smelter Look-up"&amp;ADDRESS(ROW(),COLUMN(),4),L!$A:$A,0)-1,SL,,)</f>
        <v>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v>
      </c>
      <c r="B1" s="411"/>
      <c r="C1" s="411"/>
      <c r="D1" s="411"/>
      <c r="E1" s="411"/>
      <c r="F1" s="411"/>
      <c r="G1" s="411"/>
    </row>
    <row r="2" spans="1:13">
      <c r="A2" s="412"/>
      <c r="B2" s="412"/>
      <c r="C2" s="412"/>
      <c r="D2" s="412"/>
      <c r="E2" s="412"/>
      <c r="F2" s="412"/>
      <c r="G2" s="412"/>
      <c r="H2" s="412"/>
      <c r="I2" s="412"/>
    </row>
    <row r="3" spans="1:13">
      <c r="A3" s="412"/>
      <c r="B3" s="412"/>
      <c r="C3" s="412"/>
      <c r="D3" s="412"/>
      <c r="E3" s="412"/>
      <c r="F3" s="412"/>
      <c r="G3" s="412"/>
      <c r="H3" s="412"/>
      <c r="I3" s="412"/>
    </row>
    <row r="4" spans="1:13" s="161" customFormat="1" ht="103.5" customHeight="1">
      <c r="A4" s="159" t="str">
        <f ca="1">OFFSET(L!$C$1,MATCH("Smelter Look-up"&amp;ADDRESS(ROW(),COLUMN(),4),L!$A:$A,0)-1,SL,,)</f>
        <v>金属</v>
      </c>
      <c r="B4" s="159" t="str">
        <f ca="1">OFFSET(L!$C$1,MATCH("Smelter Look-up"&amp;ADDRESS(ROW(),COLUMN(),4),L!$A:$A,0)-1,SL,,)</f>
        <v>Smelter Look-Up（製錬業者名検索）（*）</v>
      </c>
      <c r="C4" s="159" t="str">
        <f ca="1">OFFSET(L!$C$1,MATCH("Smelter Look-up"&amp;ADDRESS(ROW(),COLUMN(),4),L!$A:$A,0)-1,SL,,)</f>
        <v>標準製錬業者名</v>
      </c>
      <c r="D4" s="159" t="str">
        <f ca="1">OFFSET(L!$C$1,MATCH("Smelter Look-up"&amp;ADDRESS(ROW(),COLUMN(),4),L!$A:$A,0)-1,SL,,)</f>
        <v>製錬施設所在地：国</v>
      </c>
      <c r="E4" s="159" t="str">
        <f ca="1">OFFSET(L!$C$1,MATCH("Smelter Look-up"&amp;ADDRESS(ROW(),COLUMN(),4),L!$A:$A,0)-1,SL,,)</f>
        <v>製錬業者ID</v>
      </c>
      <c r="F4" s="159" t="str">
        <f ca="1">OFFSET(L!$C$1,MATCH("Smelter Look-up"&amp;ADDRESS(ROW(),COLUMN(),4),L!$A:$A,0)-1,SL,,)</f>
        <v>製錬業者識別番号の発行元</v>
      </c>
      <c r="G4" s="159" t="str">
        <f ca="1">OFFSET(L!$C$1,MATCH("Smelter Look-up"&amp;ADDRESS(ROW(),COLUMN(),4),L!$A:$A,0)-1,SL,,)</f>
        <v>製錬業者所在地：番地</v>
      </c>
      <c r="H4" s="159" t="str">
        <f ca="1">OFFSET(L!$C$1,MATCH("Smelter Look-up"&amp;ADDRESS(ROW(),COLUMN(),4),L!$A:$A,0)-1,SL,,)</f>
        <v>製錬業者所在地：市</v>
      </c>
      <c r="I4" s="159" t="str">
        <f ca="1">OFFSET(L!$C$1,MATCH("Smelter Look-up"&amp;ADDRESS(ROW(),COLUMN(),4),L!$A:$A,0)-1,SL,,)</f>
        <v>製錬施設所在地：州／県</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28.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28.5">
      <c r="A10" s="127" t="str">
        <f>B10&amp;C10</f>
        <v>InstructionsA10</v>
      </c>
      <c r="B10" s="127" t="s">
        <v>389</v>
      </c>
      <c r="C10" s="127" t="s">
        <v>435</v>
      </c>
      <c r="D10" s="127" t="s">
        <v>436</v>
      </c>
      <c r="E10" s="245" t="s">
        <v>437</v>
      </c>
      <c r="F10" s="246" t="s">
        <v>438</v>
      </c>
      <c r="G10" s="127" t="s">
        <v>439</v>
      </c>
      <c r="H10" s="297" t="s">
        <v>440</v>
      </c>
    </row>
    <row r="11" spans="1:8" ht="28.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57">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5.5">
      <c r="A15" s="127" t="str">
        <f t="shared" si="0"/>
        <v>InstructionsA15</v>
      </c>
      <c r="B15" s="127" t="s">
        <v>389</v>
      </c>
      <c r="C15" s="127" t="s">
        <v>465</v>
      </c>
      <c r="D15" s="127" t="s">
        <v>466</v>
      </c>
      <c r="E15" s="245" t="s">
        <v>467</v>
      </c>
      <c r="F15" s="246" t="s">
        <v>468</v>
      </c>
      <c r="G15" s="127" t="s">
        <v>469</v>
      </c>
      <c r="H15" s="297" t="s">
        <v>470</v>
      </c>
    </row>
    <row r="16" spans="1:8" ht="28.5">
      <c r="A16" s="127" t="str">
        <f t="shared" si="0"/>
        <v>InstructionsA16</v>
      </c>
      <c r="B16" s="127" t="s">
        <v>389</v>
      </c>
      <c r="C16" s="127" t="s">
        <v>471</v>
      </c>
      <c r="D16" s="127" t="s">
        <v>472</v>
      </c>
      <c r="E16" s="223" t="s">
        <v>473</v>
      </c>
      <c r="F16" s="248" t="s">
        <v>474</v>
      </c>
      <c r="G16" s="127" t="s">
        <v>475</v>
      </c>
      <c r="H16" s="297" t="s">
        <v>476</v>
      </c>
    </row>
    <row r="17" spans="1:8" ht="57">
      <c r="A17" s="127" t="str">
        <f t="shared" si="0"/>
        <v>InstructionsA17</v>
      </c>
      <c r="B17" s="127" t="s">
        <v>389</v>
      </c>
      <c r="C17" s="127" t="s">
        <v>477</v>
      </c>
      <c r="D17" s="127" t="s">
        <v>478</v>
      </c>
      <c r="E17" s="245" t="s">
        <v>479</v>
      </c>
      <c r="F17" s="246" t="s">
        <v>480</v>
      </c>
      <c r="G17" s="127" t="s">
        <v>481</v>
      </c>
      <c r="H17" s="297" t="s">
        <v>482</v>
      </c>
    </row>
    <row r="18" spans="1:8" ht="28.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42.2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399">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13.75">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42.25">
      <c r="A34" s="127" t="str">
        <f t="shared" si="0"/>
        <v>InstructionsA36</v>
      </c>
      <c r="B34" s="127" t="s">
        <v>389</v>
      </c>
      <c r="C34" s="127" t="s">
        <v>579</v>
      </c>
      <c r="D34" s="127" t="s">
        <v>580</v>
      </c>
      <c r="E34" s="245" t="s">
        <v>581</v>
      </c>
      <c r="F34" s="246" t="s">
        <v>582</v>
      </c>
      <c r="G34" s="254" t="s">
        <v>583</v>
      </c>
      <c r="H34" s="297" t="s">
        <v>584</v>
      </c>
    </row>
    <row r="35" spans="1:8" ht="42.75">
      <c r="A35" s="127" t="str">
        <f t="shared" si="0"/>
        <v>InstructionsA37</v>
      </c>
      <c r="B35" s="127" t="s">
        <v>389</v>
      </c>
      <c r="C35" s="127" t="s">
        <v>585</v>
      </c>
      <c r="D35" s="127" t="s">
        <v>586</v>
      </c>
      <c r="E35" s="249" t="s">
        <v>587</v>
      </c>
      <c r="F35" s="291" t="s">
        <v>588</v>
      </c>
      <c r="G35" s="127" t="s">
        <v>589</v>
      </c>
      <c r="H35" s="297" t="s">
        <v>590</v>
      </c>
    </row>
    <row r="36" spans="1:8" ht="71.25">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28">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85.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57">
      <c r="A47" s="127" t="str">
        <f t="shared" si="0"/>
        <v>InstructionsA51</v>
      </c>
      <c r="B47" s="127" t="s">
        <v>389</v>
      </c>
      <c r="C47" s="127" t="s">
        <v>657</v>
      </c>
      <c r="D47" s="127" t="s">
        <v>658</v>
      </c>
      <c r="E47" s="245" t="s">
        <v>659</v>
      </c>
      <c r="F47" s="246" t="s">
        <v>660</v>
      </c>
      <c r="G47" s="127" t="s">
        <v>661</v>
      </c>
      <c r="H47" s="297" t="s">
        <v>662</v>
      </c>
    </row>
    <row r="48" spans="1:8" ht="71.2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28.5">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299.2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199.5">
      <c r="A91" s="127" t="str">
        <f>B91&amp;C91</f>
        <v>DefinitionsC5</v>
      </c>
      <c r="B91" s="127" t="s">
        <v>783</v>
      </c>
      <c r="C91" s="127" t="s">
        <v>917</v>
      </c>
      <c r="D91" s="127" t="s">
        <v>918</v>
      </c>
      <c r="E91" s="245" t="s">
        <v>919</v>
      </c>
      <c r="F91" s="246" t="s">
        <v>920</v>
      </c>
      <c r="G91" s="127" t="s">
        <v>921</v>
      </c>
      <c r="H91" s="297" t="s">
        <v>922</v>
      </c>
    </row>
    <row r="92" spans="1:8" ht="128.25">
      <c r="A92" s="127" t="str">
        <f>B92&amp;C92</f>
        <v>DefinitionsC6</v>
      </c>
      <c r="B92" s="127" t="s">
        <v>783</v>
      </c>
      <c r="C92" s="127" t="s">
        <v>923</v>
      </c>
      <c r="D92" s="127" t="s">
        <v>924</v>
      </c>
      <c r="E92" s="245" t="s">
        <v>925</v>
      </c>
      <c r="F92" s="246" t="s">
        <v>926</v>
      </c>
      <c r="G92" s="127" t="s">
        <v>927</v>
      </c>
      <c r="H92" s="297" t="s">
        <v>928</v>
      </c>
    </row>
    <row r="93" spans="1:8" ht="128.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28.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67.5">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42.75">
      <c r="A143" s="127" t="str">
        <f t="shared" si="4"/>
        <v>DeclarationB71</v>
      </c>
      <c r="B143" s="127" t="s">
        <v>1019</v>
      </c>
      <c r="C143" s="127" t="s">
        <v>1209</v>
      </c>
      <c r="D143" s="127" t="s">
        <v>1210</v>
      </c>
      <c r="E143" s="245" t="s">
        <v>12757</v>
      </c>
      <c r="F143" s="246" t="s">
        <v>1211</v>
      </c>
      <c r="G143" s="127" t="s">
        <v>1212</v>
      </c>
      <c r="H143" s="297" t="s">
        <v>1213</v>
      </c>
    </row>
    <row r="144" spans="1:8" ht="42.75">
      <c r="A144" s="127" t="str">
        <f t="shared" ref="A144:A177" si="6">B144&amp;C144</f>
        <v>Declaration</v>
      </c>
      <c r="B144" s="127" t="s">
        <v>1019</v>
      </c>
      <c r="D144" s="127" t="s">
        <v>1214</v>
      </c>
      <c r="E144" s="245" t="s">
        <v>1215</v>
      </c>
      <c r="F144" s="266" t="s">
        <v>1216</v>
      </c>
      <c r="G144" s="127" t="s">
        <v>1217</v>
      </c>
      <c r="H144" s="297" t="s">
        <v>1218</v>
      </c>
    </row>
    <row r="145" spans="1:8" ht="57">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399">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28.5">
      <c r="A229" s="127" t="str">
        <f t="shared" si="8"/>
        <v>CheckerJ10</v>
      </c>
      <c r="B229" s="127" t="s">
        <v>1483</v>
      </c>
      <c r="C229" s="127" t="s">
        <v>1567</v>
      </c>
      <c r="D229" s="127" t="s">
        <v>1568</v>
      </c>
      <c r="E229" s="245" t="s">
        <v>1569</v>
      </c>
      <c r="F229" s="246" t="s">
        <v>1570</v>
      </c>
      <c r="G229" s="257" t="s">
        <v>1571</v>
      </c>
      <c r="H229" s="297" t="s">
        <v>1572</v>
      </c>
    </row>
    <row r="230" spans="1:8" ht="28.5">
      <c r="A230" s="127" t="str">
        <f t="shared" si="8"/>
        <v>CheckerJ11</v>
      </c>
      <c r="B230" s="127" t="s">
        <v>1483</v>
      </c>
      <c r="C230" s="127" t="s">
        <v>1573</v>
      </c>
      <c r="D230" s="127" t="s">
        <v>1574</v>
      </c>
      <c r="E230" s="245" t="s">
        <v>1575</v>
      </c>
      <c r="F230" s="246" t="s">
        <v>1576</v>
      </c>
      <c r="G230" s="257" t="s">
        <v>1577</v>
      </c>
      <c r="H230" s="297" t="s">
        <v>1578</v>
      </c>
    </row>
    <row r="231" spans="1:8" ht="28.5">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28.5">
      <c r="A233" s="127" t="str">
        <f t="shared" si="8"/>
        <v>CheckerJ15</v>
      </c>
      <c r="B233" s="127" t="s">
        <v>1483</v>
      </c>
      <c r="C233" s="127" t="s">
        <v>1591</v>
      </c>
      <c r="D233" s="251" t="s">
        <v>1592</v>
      </c>
      <c r="E233" s="252" t="s">
        <v>1593</v>
      </c>
      <c r="F233" s="259" t="s">
        <v>1594</v>
      </c>
      <c r="G233" s="257" t="s">
        <v>1595</v>
      </c>
      <c r="H233" s="297" t="s">
        <v>1596</v>
      </c>
    </row>
    <row r="234" spans="1:8" ht="28.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75">
      <c r="A250" s="127" t="str">
        <f t="shared" si="9"/>
        <v>CheckerJ38</v>
      </c>
      <c r="B250" s="127" t="s">
        <v>1483</v>
      </c>
      <c r="C250" s="127" t="s">
        <v>1656</v>
      </c>
      <c r="D250" s="127" t="s">
        <v>1657</v>
      </c>
      <c r="E250" s="245" t="s">
        <v>1658</v>
      </c>
      <c r="F250" s="246" t="s">
        <v>1659</v>
      </c>
      <c r="G250" s="257" t="s">
        <v>1660</v>
      </c>
      <c r="H250" s="297" t="s">
        <v>1661</v>
      </c>
    </row>
    <row r="251" spans="1:8" ht="42.7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49.5">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3">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3">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1b346dad-8a15-4ce7-a19a-07d981b0c5e2"/>
    <ds:schemaRef ds:uri="http://www.w3.org/XML/1998/namespace"/>
    <ds:schemaRef ds:uri="http://purl.org/dc/dcmityp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84021</cp:lastModifiedBy>
  <cp:revision/>
  <dcterms:created xsi:type="dcterms:W3CDTF">2010-06-21T21:00:23Z</dcterms:created>
  <dcterms:modified xsi:type="dcterms:W3CDTF">2023-07-12T04:52:35Z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